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65" windowWidth="14805" windowHeight="7350"/>
  </bookViews>
  <sheets>
    <sheet name="Отчет за 4  2020 года" sheetId="15" r:id="rId1"/>
    <sheet name="Затраты Р-9" sheetId="17" r:id="rId2"/>
    <sheet name="Лист2" sheetId="16" state="hidden" r:id="rId3"/>
    <sheet name="Отчет за 3  2020 года " sheetId="13" state="hidden" r:id="rId4"/>
    <sheet name="Отчет за 3  2020 года" sheetId="3" state="hidden" r:id="rId5"/>
    <sheet name="П-4" sheetId="4" state="hidden" r:id="rId6"/>
    <sheet name="20" sheetId="5" state="hidden" r:id="rId7"/>
    <sheet name="26" sheetId="6" state="hidden" r:id="rId8"/>
    <sheet name="60" sheetId="7" state="hidden" r:id="rId9"/>
    <sheet name="91" sheetId="8" state="hidden" r:id="rId10"/>
    <sheet name="10" sheetId="9" state="hidden" r:id="rId11"/>
    <sheet name="ТНС" sheetId="10" state="hidden" r:id="rId12"/>
    <sheet name="Лист8" sheetId="11" state="hidden" r:id="rId13"/>
    <sheet name="Лист9" sheetId="12" state="hidden" r:id="rId14"/>
    <sheet name="Лист11" sheetId="14" state="hidden" r:id="rId15"/>
  </sheets>
  <externalReferences>
    <externalReference r:id="rId16"/>
    <externalReference r:id="rId17"/>
  </externalReferences>
  <definedNames>
    <definedName name="_xlnm._FilterDatabase" localSheetId="8" hidden="1">'60'!$A$13:$U$61</definedName>
    <definedName name="_xlnm._FilterDatabase" localSheetId="1" hidden="1">'Затраты Р-9'!$B$1:$Q$59</definedName>
    <definedName name="_xlnm.Print_Area" localSheetId="4">'Отчет за 3  2020 года'!$A$1:$E$101</definedName>
    <definedName name="_xlnm.Print_Area" localSheetId="3">'Отчет за 3  2020 года '!$A$1:$E$101</definedName>
    <definedName name="_xlnm.Print_Area" localSheetId="0">'Отчет за 4  2020 года'!$A$1:$D$114</definedName>
  </definedNames>
  <calcPr calcId="144525"/>
</workbook>
</file>

<file path=xl/calcChain.xml><?xml version="1.0" encoding="utf-8"?>
<calcChain xmlns="http://schemas.openxmlformats.org/spreadsheetml/2006/main">
  <c r="O105" i="15" l="1"/>
  <c r="D100" i="15"/>
  <c r="Q60" i="17"/>
  <c r="D85" i="15"/>
  <c r="D70" i="15"/>
  <c r="D124" i="15"/>
  <c r="D79" i="15"/>
  <c r="D33" i="15"/>
  <c r="D12" i="15" s="1"/>
  <c r="D65" i="15"/>
  <c r="D63" i="15"/>
  <c r="D123" i="15"/>
  <c r="D86" i="15"/>
  <c r="N118" i="15" s="1"/>
  <c r="D37" i="15"/>
  <c r="D35" i="15"/>
  <c r="D42" i="15"/>
  <c r="D41" i="15"/>
  <c r="D59" i="15"/>
  <c r="D76" i="15"/>
  <c r="D18" i="15"/>
  <c r="D14" i="15"/>
  <c r="D60" i="17"/>
  <c r="P58" i="17"/>
  <c r="S58" i="17" s="1"/>
  <c r="S57" i="17"/>
  <c r="S56" i="17"/>
  <c r="S55" i="17"/>
  <c r="S54" i="17"/>
  <c r="P54" i="17"/>
  <c r="P53" i="17"/>
  <c r="S53" i="17" s="1"/>
  <c r="P52" i="17"/>
  <c r="S52" i="17" s="1"/>
  <c r="P51" i="17"/>
  <c r="S51" i="17" s="1"/>
  <c r="S50" i="17"/>
  <c r="P50" i="17"/>
  <c r="S49" i="17"/>
  <c r="P48" i="17"/>
  <c r="S48" i="17" s="1"/>
  <c r="S47" i="17"/>
  <c r="P47" i="17"/>
  <c r="P46" i="17"/>
  <c r="S46" i="17" s="1"/>
  <c r="S45" i="17"/>
  <c r="S44" i="17"/>
  <c r="S43" i="17"/>
  <c r="S42" i="17"/>
  <c r="P41" i="17"/>
  <c r="S41" i="17" s="1"/>
  <c r="P40" i="17"/>
  <c r="S40" i="17" s="1"/>
  <c r="S39" i="17"/>
  <c r="P39" i="17"/>
  <c r="P38" i="17"/>
  <c r="S38" i="17" s="1"/>
  <c r="P37" i="17"/>
  <c r="S37" i="17" s="1"/>
  <c r="P36" i="17"/>
  <c r="S36" i="17" s="1"/>
  <c r="S35" i="17"/>
  <c r="P35" i="17"/>
  <c r="S34" i="17"/>
  <c r="P33" i="17"/>
  <c r="S33" i="17" s="1"/>
  <c r="S32" i="17"/>
  <c r="P32" i="17"/>
  <c r="S31" i="17"/>
  <c r="P30" i="17"/>
  <c r="S30" i="17" s="1"/>
  <c r="S29" i="17"/>
  <c r="P28" i="17"/>
  <c r="S28" i="17" s="1"/>
  <c r="S27" i="17"/>
  <c r="P26" i="17"/>
  <c r="S26" i="17" s="1"/>
  <c r="P25" i="17"/>
  <c r="S25" i="17" s="1"/>
  <c r="O24" i="17"/>
  <c r="O59" i="17" s="1"/>
  <c r="O60" i="17" s="1"/>
  <c r="N24" i="17"/>
  <c r="M24" i="17"/>
  <c r="L24" i="17"/>
  <c r="K24" i="17"/>
  <c r="K59" i="17" s="1"/>
  <c r="K60" i="17" s="1"/>
  <c r="J24" i="17"/>
  <c r="J59" i="17" s="1"/>
  <c r="J60" i="17" s="1"/>
  <c r="I24" i="17"/>
  <c r="H24" i="17"/>
  <c r="G24" i="17"/>
  <c r="F24" i="17"/>
  <c r="E24" i="17"/>
  <c r="D24" i="17"/>
  <c r="D59" i="17" s="1"/>
  <c r="Q23" i="17"/>
  <c r="O23" i="17"/>
  <c r="O3" i="17" s="1"/>
  <c r="L23" i="17"/>
  <c r="I23" i="17"/>
  <c r="F23" i="17"/>
  <c r="Q22" i="17"/>
  <c r="M22" i="17"/>
  <c r="L22" i="17"/>
  <c r="K22" i="17"/>
  <c r="J22" i="17"/>
  <c r="I22" i="17"/>
  <c r="G22" i="17"/>
  <c r="F22" i="17"/>
  <c r="S21" i="17"/>
  <c r="P21" i="17"/>
  <c r="P20" i="17"/>
  <c r="S20" i="17" s="1"/>
  <c r="Q19" i="17"/>
  <c r="P19" i="17"/>
  <c r="S19" i="17" s="1"/>
  <c r="Q18" i="17"/>
  <c r="P18" i="17"/>
  <c r="S18" i="17" s="1"/>
  <c r="Q17" i="17"/>
  <c r="J17" i="17"/>
  <c r="P17" i="17" s="1"/>
  <c r="S17" i="17" s="1"/>
  <c r="P16" i="17"/>
  <c r="P15" i="17"/>
  <c r="Q14" i="17"/>
  <c r="S14" i="17" s="1"/>
  <c r="P14" i="17"/>
  <c r="D14" i="17"/>
  <c r="P13" i="17"/>
  <c r="P12" i="17"/>
  <c r="H11" i="17"/>
  <c r="H3" i="17" s="1"/>
  <c r="G11" i="17"/>
  <c r="P10" i="17"/>
  <c r="P9" i="17"/>
  <c r="P8" i="17"/>
  <c r="P7" i="17"/>
  <c r="Q6" i="17"/>
  <c r="P6" i="17"/>
  <c r="Q5" i="17"/>
  <c r="O5" i="17"/>
  <c r="N5" i="17"/>
  <c r="M5" i="17"/>
  <c r="L5" i="17"/>
  <c r="K5" i="17"/>
  <c r="J5" i="17"/>
  <c r="I5" i="17"/>
  <c r="H5" i="17"/>
  <c r="G5" i="17"/>
  <c r="F5" i="17"/>
  <c r="E5" i="17"/>
  <c r="D5" i="17"/>
  <c r="P5" i="17" s="1"/>
  <c r="S5" i="17" s="1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Q4" i="17"/>
  <c r="O4" i="17"/>
  <c r="N4" i="17"/>
  <c r="N3" i="17" s="1"/>
  <c r="M4" i="17"/>
  <c r="L4" i="17"/>
  <c r="K4" i="17"/>
  <c r="J4" i="17"/>
  <c r="I4" i="17"/>
  <c r="H4" i="17"/>
  <c r="G4" i="17"/>
  <c r="F4" i="17"/>
  <c r="F3" i="17" s="1"/>
  <c r="E4" i="17"/>
  <c r="D4" i="17"/>
  <c r="Q3" i="17"/>
  <c r="M3" i="17"/>
  <c r="K3" i="17"/>
  <c r="J3" i="17"/>
  <c r="I3" i="17"/>
  <c r="E3" i="17"/>
  <c r="D3" i="17"/>
  <c r="D118" i="15"/>
  <c r="D61" i="15" l="1"/>
  <c r="N119" i="15"/>
  <c r="F59" i="17"/>
  <c r="F60" i="17" s="1"/>
  <c r="N59" i="17"/>
  <c r="N60" i="17" s="1"/>
  <c r="Q59" i="17"/>
  <c r="P11" i="17"/>
  <c r="S6" i="17" s="1"/>
  <c r="P22" i="17"/>
  <c r="S22" i="17" s="1"/>
  <c r="G3" i="17"/>
  <c r="G59" i="17" s="1"/>
  <c r="G60" i="17" s="1"/>
  <c r="L3" i="17"/>
  <c r="H59" i="17"/>
  <c r="H60" i="17" s="1"/>
  <c r="L59" i="17"/>
  <c r="L60" i="17" s="1"/>
  <c r="P4" i="17"/>
  <c r="P23" i="17"/>
  <c r="S23" i="17" s="1"/>
  <c r="E59" i="17"/>
  <c r="E60" i="17" s="1"/>
  <c r="I59" i="17"/>
  <c r="I60" i="17" s="1"/>
  <c r="M59" i="17"/>
  <c r="M60" i="17" s="1"/>
  <c r="P24" i="17"/>
  <c r="S24" i="17" s="1"/>
  <c r="P3" i="17" l="1"/>
  <c r="S4" i="17"/>
  <c r="P59" i="17"/>
  <c r="S3" i="17" l="1"/>
  <c r="R3" i="17"/>
  <c r="C101" i="15" l="1"/>
  <c r="C85" i="15"/>
  <c r="P14" i="15" l="1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2" i="15"/>
  <c r="P63" i="15"/>
  <c r="P64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80" i="15"/>
  <c r="P81" i="15"/>
  <c r="P82" i="15"/>
  <c r="P83" i="15"/>
  <c r="P84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O101" i="15"/>
  <c r="O100" i="15"/>
  <c r="O63" i="15"/>
  <c r="O14" i="15"/>
  <c r="O86" i="15"/>
  <c r="O79" i="15"/>
  <c r="O16" i="15"/>
  <c r="O70" i="15"/>
  <c r="O37" i="15"/>
  <c r="O51" i="15"/>
  <c r="O57" i="15"/>
  <c r="O35" i="15"/>
  <c r="O42" i="15"/>
  <c r="O59" i="15"/>
  <c r="O76" i="15"/>
  <c r="O18" i="15"/>
  <c r="H106" i="15" l="1"/>
  <c r="I106" i="15" s="1"/>
  <c r="G108" i="15" l="1"/>
  <c r="P79" i="15"/>
  <c r="E78" i="15"/>
  <c r="E33" i="15"/>
  <c r="P62" i="16"/>
  <c r="O63" i="16"/>
  <c r="F63" i="16"/>
  <c r="P3" i="16"/>
  <c r="Q62" i="16"/>
  <c r="P61" i="16"/>
  <c r="S61" i="16" s="1"/>
  <c r="S60" i="16"/>
  <c r="S59" i="16"/>
  <c r="S58" i="16"/>
  <c r="S57" i="16"/>
  <c r="P57" i="16"/>
  <c r="P56" i="16"/>
  <c r="S56" i="16" s="1"/>
  <c r="S55" i="16"/>
  <c r="P55" i="16"/>
  <c r="P54" i="16"/>
  <c r="S54" i="16" s="1"/>
  <c r="P53" i="16"/>
  <c r="S53" i="16" s="1"/>
  <c r="S52" i="16"/>
  <c r="P51" i="16"/>
  <c r="S51" i="16" s="1"/>
  <c r="P50" i="16"/>
  <c r="S50" i="16" s="1"/>
  <c r="P49" i="16"/>
  <c r="S49" i="16" s="1"/>
  <c r="S48" i="16"/>
  <c r="S47" i="16"/>
  <c r="S46" i="16"/>
  <c r="S45" i="16"/>
  <c r="P44" i="16"/>
  <c r="S44" i="16" s="1"/>
  <c r="P43" i="16"/>
  <c r="S43" i="16" s="1"/>
  <c r="S42" i="16"/>
  <c r="P42" i="16"/>
  <c r="P41" i="16"/>
  <c r="S41" i="16" s="1"/>
  <c r="S40" i="16"/>
  <c r="P40" i="16"/>
  <c r="P39" i="16"/>
  <c r="S39" i="16" s="1"/>
  <c r="P38" i="16"/>
  <c r="S38" i="16" s="1"/>
  <c r="S37" i="16"/>
  <c r="P36" i="16"/>
  <c r="S36" i="16" s="1"/>
  <c r="P35" i="16"/>
  <c r="S35" i="16" s="1"/>
  <c r="S34" i="16"/>
  <c r="P33" i="16"/>
  <c r="S33" i="16" s="1"/>
  <c r="S32" i="16"/>
  <c r="S31" i="16"/>
  <c r="P31" i="16"/>
  <c r="S30" i="16"/>
  <c r="P29" i="16"/>
  <c r="S29" i="16" s="1"/>
  <c r="S28" i="16"/>
  <c r="P28" i="16"/>
  <c r="A28" i="16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O27" i="16"/>
  <c r="O62" i="16" s="1"/>
  <c r="N27" i="16"/>
  <c r="N62" i="16" s="1"/>
  <c r="N63" i="16" s="1"/>
  <c r="M27" i="16"/>
  <c r="M62" i="16" s="1"/>
  <c r="M63" i="16" s="1"/>
  <c r="L27" i="16"/>
  <c r="L62" i="16" s="1"/>
  <c r="L63" i="16" s="1"/>
  <c r="K27" i="16"/>
  <c r="K62" i="16" s="1"/>
  <c r="K63" i="16" s="1"/>
  <c r="J27" i="16"/>
  <c r="J62" i="16" s="1"/>
  <c r="J63" i="16" s="1"/>
  <c r="I27" i="16"/>
  <c r="I62" i="16" s="1"/>
  <c r="I63" i="16" s="1"/>
  <c r="H27" i="16"/>
  <c r="H62" i="16" s="1"/>
  <c r="H63" i="16" s="1"/>
  <c r="G27" i="16"/>
  <c r="G62" i="16" s="1"/>
  <c r="G63" i="16" s="1"/>
  <c r="F27" i="16"/>
  <c r="F62" i="16" s="1"/>
  <c r="E27" i="16"/>
  <c r="E62" i="16" s="1"/>
  <c r="D27" i="16"/>
  <c r="D62" i="16" s="1"/>
  <c r="A27" i="16"/>
  <c r="Q26" i="16"/>
  <c r="O26" i="16"/>
  <c r="L26" i="16"/>
  <c r="I26" i="16"/>
  <c r="F26" i="16"/>
  <c r="P26" i="16" s="1"/>
  <c r="S26" i="16" s="1"/>
  <c r="Q25" i="16"/>
  <c r="O25" i="16"/>
  <c r="N25" i="16"/>
  <c r="M25" i="16"/>
  <c r="L25" i="16"/>
  <c r="K25" i="16"/>
  <c r="H25" i="16"/>
  <c r="E25" i="16"/>
  <c r="P25" i="16" s="1"/>
  <c r="S25" i="16" s="1"/>
  <c r="P24" i="16"/>
  <c r="S24" i="16" s="1"/>
  <c r="Q23" i="16"/>
  <c r="P23" i="16"/>
  <c r="S23" i="16" s="1"/>
  <c r="Q22" i="16"/>
  <c r="P22" i="16"/>
  <c r="S22" i="16" s="1"/>
  <c r="Q21" i="16"/>
  <c r="O21" i="16"/>
  <c r="N21" i="16"/>
  <c r="M21" i="16"/>
  <c r="L21" i="16"/>
  <c r="P21" i="16" s="1"/>
  <c r="S21" i="16" s="1"/>
  <c r="K21" i="16"/>
  <c r="J21" i="16"/>
  <c r="D21" i="16"/>
  <c r="Q20" i="16"/>
  <c r="S20" i="16" s="1"/>
  <c r="P20" i="16"/>
  <c r="P19" i="16"/>
  <c r="P18" i="16"/>
  <c r="Q17" i="16"/>
  <c r="S17" i="16" s="1"/>
  <c r="D17" i="16"/>
  <c r="P17" i="16" s="1"/>
  <c r="P16" i="16"/>
  <c r="P15" i="16"/>
  <c r="P14" i="16"/>
  <c r="P13" i="16"/>
  <c r="E13" i="16"/>
  <c r="P12" i="16"/>
  <c r="M11" i="16"/>
  <c r="L11" i="16"/>
  <c r="K11" i="16"/>
  <c r="J11" i="16"/>
  <c r="I11" i="16"/>
  <c r="H11" i="16"/>
  <c r="G11" i="16"/>
  <c r="F11" i="16"/>
  <c r="E11" i="16"/>
  <c r="D11" i="16"/>
  <c r="P11" i="16" s="1"/>
  <c r="P10" i="16"/>
  <c r="O9" i="16"/>
  <c r="L9" i="16"/>
  <c r="P9" i="16" s="1"/>
  <c r="P8" i="16"/>
  <c r="P7" i="16"/>
  <c r="Q6" i="16"/>
  <c r="P6" i="16"/>
  <c r="Q5" i="16"/>
  <c r="O5" i="16"/>
  <c r="N5" i="16"/>
  <c r="M5" i="16"/>
  <c r="L5" i="16"/>
  <c r="K5" i="16"/>
  <c r="J5" i="16"/>
  <c r="I5" i="16"/>
  <c r="H5" i="16"/>
  <c r="G5" i="16"/>
  <c r="F5" i="16"/>
  <c r="E5" i="16"/>
  <c r="D5" i="16"/>
  <c r="P5" i="16" s="1"/>
  <c r="S5" i="16" s="1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Q4" i="16"/>
  <c r="O4" i="16"/>
  <c r="N4" i="16"/>
  <c r="M4" i="16"/>
  <c r="L4" i="16"/>
  <c r="K4" i="16"/>
  <c r="J4" i="16"/>
  <c r="I4" i="16"/>
  <c r="H4" i="16"/>
  <c r="G4" i="16"/>
  <c r="F4" i="16"/>
  <c r="E4" i="16"/>
  <c r="D4" i="16"/>
  <c r="P4" i="16" s="1"/>
  <c r="Q3" i="16"/>
  <c r="O3" i="16"/>
  <c r="N3" i="16"/>
  <c r="M3" i="16"/>
  <c r="L3" i="16"/>
  <c r="K3" i="16"/>
  <c r="J3" i="16"/>
  <c r="I3" i="16"/>
  <c r="H3" i="16"/>
  <c r="G3" i="16"/>
  <c r="F3" i="16"/>
  <c r="E3" i="16"/>
  <c r="E63" i="16" s="1"/>
  <c r="D3" i="16"/>
  <c r="D63" i="16" s="1"/>
  <c r="G101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4" i="15"/>
  <c r="E83" i="15"/>
  <c r="E82" i="15"/>
  <c r="E81" i="15"/>
  <c r="E80" i="15"/>
  <c r="E75" i="15"/>
  <c r="C61" i="15"/>
  <c r="I85" i="15" s="1"/>
  <c r="I100" i="15" s="1"/>
  <c r="B60" i="15"/>
  <c r="B59" i="15"/>
  <c r="B58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76" i="15"/>
  <c r="E16" i="15"/>
  <c r="C12" i="15"/>
  <c r="I102" i="15" l="1"/>
  <c r="E101" i="15"/>
  <c r="S3" i="16"/>
  <c r="S4" i="16"/>
  <c r="S6" i="16"/>
  <c r="P27" i="16"/>
  <c r="S27" i="16" s="1"/>
  <c r="E63" i="15"/>
  <c r="E61" i="15"/>
  <c r="E13" i="15"/>
  <c r="E18" i="15"/>
  <c r="E14" i="15"/>
  <c r="I19" i="14"/>
  <c r="I3" i="14"/>
  <c r="I6" i="14"/>
  <c r="I7" i="14"/>
  <c r="I8" i="14"/>
  <c r="I9" i="14"/>
  <c r="I10" i="14"/>
  <c r="I13" i="14"/>
  <c r="I14" i="14"/>
  <c r="I15" i="14"/>
  <c r="I16" i="14"/>
  <c r="I17" i="14"/>
  <c r="I2" i="14"/>
  <c r="D3" i="14"/>
  <c r="E3" i="14"/>
  <c r="E6" i="14" s="1"/>
  <c r="E7" i="14" s="1"/>
  <c r="E8" i="14" s="1"/>
  <c r="E9" i="14" s="1"/>
  <c r="E10" i="14" s="1"/>
  <c r="E13" i="14" s="1"/>
  <c r="E14" i="14" s="1"/>
  <c r="E15" i="14" s="1"/>
  <c r="E16" i="14" s="1"/>
  <c r="E17" i="14" s="1"/>
  <c r="E22" i="14" s="1"/>
  <c r="E23" i="14" s="1"/>
  <c r="E24" i="14" s="1"/>
  <c r="E25" i="14" s="1"/>
  <c r="F3" i="14"/>
  <c r="G3" i="14"/>
  <c r="G6" i="14" s="1"/>
  <c r="G7" i="14" s="1"/>
  <c r="G8" i="14" s="1"/>
  <c r="G9" i="14" s="1"/>
  <c r="G10" i="14" s="1"/>
  <c r="G13" i="14" s="1"/>
  <c r="G14" i="14" s="1"/>
  <c r="G15" i="14" s="1"/>
  <c r="G16" i="14" s="1"/>
  <c r="G17" i="14" s="1"/>
  <c r="G22" i="14" s="1"/>
  <c r="G23" i="14" s="1"/>
  <c r="G24" i="14" s="1"/>
  <c r="G25" i="14" s="1"/>
  <c r="H3" i="14"/>
  <c r="D6" i="14"/>
  <c r="D7" i="14" s="1"/>
  <c r="D8" i="14" s="1"/>
  <c r="D9" i="14" s="1"/>
  <c r="D10" i="14" s="1"/>
  <c r="D13" i="14" s="1"/>
  <c r="D14" i="14" s="1"/>
  <c r="D15" i="14" s="1"/>
  <c r="D16" i="14" s="1"/>
  <c r="D17" i="14" s="1"/>
  <c r="D22" i="14" s="1"/>
  <c r="D23" i="14" s="1"/>
  <c r="D24" i="14" s="1"/>
  <c r="D25" i="14" s="1"/>
  <c r="F6" i="14"/>
  <c r="F7" i="14" s="1"/>
  <c r="F8" i="14" s="1"/>
  <c r="F9" i="14" s="1"/>
  <c r="F10" i="14" s="1"/>
  <c r="F13" i="14" s="1"/>
  <c r="F14" i="14" s="1"/>
  <c r="F15" i="14" s="1"/>
  <c r="F16" i="14" s="1"/>
  <c r="F17" i="14" s="1"/>
  <c r="F22" i="14" s="1"/>
  <c r="F23" i="14" s="1"/>
  <c r="F24" i="14" s="1"/>
  <c r="F25" i="14" s="1"/>
  <c r="I25" i="14" s="1"/>
  <c r="H6" i="14"/>
  <c r="H7" i="14" s="1"/>
  <c r="H8" i="14" s="1"/>
  <c r="H9" i="14" s="1"/>
  <c r="H10" i="14" s="1"/>
  <c r="H13" i="14" s="1"/>
  <c r="H14" i="14" s="1"/>
  <c r="H15" i="14" s="1"/>
  <c r="H16" i="14" s="1"/>
  <c r="H17" i="14" s="1"/>
  <c r="H22" i="14" s="1"/>
  <c r="H23" i="14" s="1"/>
  <c r="H24" i="14" s="1"/>
  <c r="H25" i="14" s="1"/>
  <c r="C8" i="14"/>
  <c r="C9" i="14" s="1"/>
  <c r="C10" i="14" s="1"/>
  <c r="C13" i="14" s="1"/>
  <c r="C14" i="14" s="1"/>
  <c r="C15" i="14" s="1"/>
  <c r="C16" i="14" s="1"/>
  <c r="C17" i="14" s="1"/>
  <c r="C22" i="14" s="1"/>
  <c r="C23" i="14" s="1"/>
  <c r="C24" i="14" s="1"/>
  <c r="C25" i="14" s="1"/>
  <c r="C7" i="14"/>
  <c r="C6" i="14"/>
  <c r="C3" i="14"/>
  <c r="D14" i="13"/>
  <c r="D18" i="13"/>
  <c r="D76" i="13" s="1"/>
  <c r="E76" i="13" s="1"/>
  <c r="D54" i="13"/>
  <c r="D65" i="13"/>
  <c r="D63" i="13"/>
  <c r="D86" i="13"/>
  <c r="E86" i="13"/>
  <c r="D75" i="13"/>
  <c r="D70" i="13"/>
  <c r="E70" i="13" s="1"/>
  <c r="G101" i="13"/>
  <c r="C101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4" i="13"/>
  <c r="E83" i="13"/>
  <c r="E82" i="13"/>
  <c r="E81" i="13"/>
  <c r="D80" i="13"/>
  <c r="E80" i="13" s="1"/>
  <c r="E79" i="13"/>
  <c r="D78" i="13"/>
  <c r="E78" i="13" s="1"/>
  <c r="E75" i="13"/>
  <c r="D72" i="13"/>
  <c r="D67" i="13"/>
  <c r="C61" i="13"/>
  <c r="I85" i="13" s="1"/>
  <c r="I100" i="13" s="1"/>
  <c r="D60" i="13"/>
  <c r="B60" i="13"/>
  <c r="B59" i="13"/>
  <c r="D58" i="13"/>
  <c r="D57" i="13"/>
  <c r="D40" i="13"/>
  <c r="D38" i="13"/>
  <c r="D35" i="13"/>
  <c r="D33" i="13" s="1"/>
  <c r="E33" i="13" s="1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6" i="13"/>
  <c r="E14" i="13"/>
  <c r="D13" i="13"/>
  <c r="E13" i="13" s="1"/>
  <c r="C13" i="13"/>
  <c r="C12" i="13"/>
  <c r="C85" i="13" s="1"/>
  <c r="D13" i="3"/>
  <c r="C13" i="3"/>
  <c r="D35" i="3"/>
  <c r="D38" i="3"/>
  <c r="D54" i="3"/>
  <c r="D60" i="3"/>
  <c r="B60" i="3"/>
  <c r="D42" i="3"/>
  <c r="D40" i="3"/>
  <c r="D37" i="3"/>
  <c r="D59" i="3"/>
  <c r="D58" i="3"/>
  <c r="D57" i="3"/>
  <c r="D75" i="3"/>
  <c r="I63" i="7"/>
  <c r="I64" i="7" s="1"/>
  <c r="N55" i="7"/>
  <c r="N53" i="7"/>
  <c r="N47" i="7"/>
  <c r="N44" i="7"/>
  <c r="N39" i="7"/>
  <c r="N38" i="7"/>
  <c r="N32" i="7"/>
  <c r="N27" i="7"/>
  <c r="N24" i="7"/>
  <c r="N57" i="7"/>
  <c r="N56" i="7"/>
  <c r="N19" i="7"/>
  <c r="N18" i="7"/>
  <c r="N54" i="7"/>
  <c r="N50" i="7"/>
  <c r="N37" i="7"/>
  <c r="N36" i="7"/>
  <c r="N34" i="7"/>
  <c r="N35" i="7"/>
  <c r="D79" i="3"/>
  <c r="N26" i="7"/>
  <c r="N31" i="7" s="1"/>
  <c r="N25" i="7"/>
  <c r="B58" i="3" s="1"/>
  <c r="N23" i="7"/>
  <c r="N22" i="7"/>
  <c r="P85" i="15" l="1"/>
  <c r="C100" i="15"/>
  <c r="R3" i="16"/>
  <c r="E12" i="15"/>
  <c r="B58" i="13"/>
  <c r="I22" i="14"/>
  <c r="I24" i="14"/>
  <c r="I23" i="14"/>
  <c r="C119" i="13"/>
  <c r="C118" i="13"/>
  <c r="I102" i="13"/>
  <c r="C100" i="13"/>
  <c r="E63" i="13"/>
  <c r="E18" i="13"/>
  <c r="D101" i="13"/>
  <c r="E101" i="13" s="1"/>
  <c r="D12" i="13"/>
  <c r="B59" i="3"/>
  <c r="P100" i="15" l="1"/>
  <c r="D119" i="15"/>
  <c r="D120" i="15" s="1"/>
  <c r="E100" i="15"/>
  <c r="E85" i="15"/>
  <c r="E12" i="13"/>
  <c r="D61" i="13"/>
  <c r="E61" i="13" s="1"/>
  <c r="D85" i="13" l="1"/>
  <c r="D100" i="13" s="1"/>
  <c r="E100" i="13" s="1"/>
  <c r="N16" i="7"/>
  <c r="N17" i="7" s="1"/>
  <c r="N14" i="7"/>
  <c r="E89" i="11"/>
  <c r="E88" i="11"/>
  <c r="E87" i="11"/>
  <c r="E86" i="11"/>
  <c r="E85" i="11"/>
  <c r="E91" i="11" s="1"/>
  <c r="D77" i="11"/>
  <c r="E73" i="11"/>
  <c r="H72" i="11"/>
  <c r="E70" i="11"/>
  <c r="H70" i="11" s="1"/>
  <c r="S66" i="11"/>
  <c r="R66" i="11"/>
  <c r="Q66" i="11"/>
  <c r="D66" i="11"/>
  <c r="D79" i="11" s="1"/>
  <c r="M62" i="11"/>
  <c r="N62" i="11" s="1"/>
  <c r="N61" i="11"/>
  <c r="M61" i="11"/>
  <c r="O61" i="11" s="1"/>
  <c r="M60" i="11"/>
  <c r="N60" i="11" s="1"/>
  <c r="O60" i="11" s="1"/>
  <c r="N59" i="11"/>
  <c r="O59" i="11" s="1"/>
  <c r="M59" i="11"/>
  <c r="M58" i="11"/>
  <c r="N58" i="11" s="1"/>
  <c r="N57" i="11"/>
  <c r="M57" i="11"/>
  <c r="O57" i="11" s="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M48" i="11"/>
  <c r="N48" i="11" s="1"/>
  <c r="O48" i="11" s="1"/>
  <c r="N47" i="11"/>
  <c r="O47" i="11" s="1"/>
  <c r="N46" i="11"/>
  <c r="O46" i="11" s="1"/>
  <c r="N45" i="11"/>
  <c r="O45" i="11" s="1"/>
  <c r="M45" i="11"/>
  <c r="M44" i="11"/>
  <c r="N44" i="11" s="1"/>
  <c r="N43" i="11"/>
  <c r="M43" i="11"/>
  <c r="O43" i="11" s="1"/>
  <c r="M42" i="11"/>
  <c r="N42" i="11" s="1"/>
  <c r="O42" i="11" s="1"/>
  <c r="N41" i="11"/>
  <c r="O41" i="11" s="1"/>
  <c r="N40" i="11"/>
  <c r="O40" i="11" s="1"/>
  <c r="N39" i="11"/>
  <c r="O39" i="11" s="1"/>
  <c r="M39" i="11"/>
  <c r="M38" i="11"/>
  <c r="N38" i="11" s="1"/>
  <c r="N37" i="11"/>
  <c r="O37" i="11" s="1"/>
  <c r="N36" i="11"/>
  <c r="O36" i="11" s="1"/>
  <c r="N35" i="11"/>
  <c r="M35" i="11"/>
  <c r="O35" i="11" s="1"/>
  <c r="M34" i="11"/>
  <c r="N34" i="11" s="1"/>
  <c r="O34" i="11" s="1"/>
  <c r="N33" i="11"/>
  <c r="O33" i="11" s="1"/>
  <c r="N32" i="11"/>
  <c r="O32" i="11" s="1"/>
  <c r="N31" i="11"/>
  <c r="O31" i="11" s="1"/>
  <c r="M31" i="11"/>
  <c r="M30" i="11"/>
  <c r="N30" i="11" s="1"/>
  <c r="N29" i="11"/>
  <c r="M29" i="11"/>
  <c r="O29" i="11" s="1"/>
  <c r="M28" i="11"/>
  <c r="N28" i="11" s="1"/>
  <c r="O28" i="11" s="1"/>
  <c r="N27" i="11"/>
  <c r="O27" i="11" s="1"/>
  <c r="M27" i="11"/>
  <c r="M26" i="11"/>
  <c r="N26" i="11" s="1"/>
  <c r="N25" i="11"/>
  <c r="O25" i="11" s="1"/>
  <c r="N24" i="11"/>
  <c r="O24" i="11" s="1"/>
  <c r="N23" i="11"/>
  <c r="M23" i="11"/>
  <c r="O23" i="11" s="1"/>
  <c r="M22" i="11"/>
  <c r="N22" i="11" s="1"/>
  <c r="O22" i="11" s="1"/>
  <c r="N21" i="11"/>
  <c r="O21" i="11" s="1"/>
  <c r="N20" i="11"/>
  <c r="O20" i="11" s="1"/>
  <c r="N19" i="11"/>
  <c r="O19" i="11" s="1"/>
  <c r="M19" i="11"/>
  <c r="M18" i="11"/>
  <c r="N18" i="11" s="1"/>
  <c r="N17" i="11"/>
  <c r="M17" i="11"/>
  <c r="O17" i="11" s="1"/>
  <c r="M16" i="11"/>
  <c r="N16" i="11" s="1"/>
  <c r="O16" i="11" s="1"/>
  <c r="N15" i="11"/>
  <c r="O15" i="11" s="1"/>
  <c r="N14" i="11"/>
  <c r="O14" i="11" s="1"/>
  <c r="N13" i="11"/>
  <c r="O13" i="11" s="1"/>
  <c r="M13" i="11"/>
  <c r="M12" i="11"/>
  <c r="N12" i="11" s="1"/>
  <c r="N11" i="11"/>
  <c r="M11" i="11"/>
  <c r="O11" i="11" s="1"/>
  <c r="M10" i="11"/>
  <c r="N10" i="11" s="1"/>
  <c r="O10" i="11" s="1"/>
  <c r="N9" i="11"/>
  <c r="O9" i="11" s="1"/>
  <c r="M9" i="11"/>
  <c r="M8" i="11"/>
  <c r="N8" i="11" s="1"/>
  <c r="N7" i="11"/>
  <c r="M7" i="11"/>
  <c r="O7" i="11" s="1"/>
  <c r="M6" i="11"/>
  <c r="M66" i="11" s="1"/>
  <c r="N5" i="11"/>
  <c r="M5" i="11"/>
  <c r="D101" i="3"/>
  <c r="C101" i="3"/>
  <c r="C100" i="3"/>
  <c r="I102" i="3"/>
  <c r="I100" i="3"/>
  <c r="I85" i="3"/>
  <c r="C85" i="3"/>
  <c r="C61" i="3"/>
  <c r="C12" i="3"/>
  <c r="G101" i="3"/>
  <c r="D16" i="3"/>
  <c r="E85" i="13" l="1"/>
  <c r="N20" i="7"/>
  <c r="N30" i="7"/>
  <c r="N29" i="7" s="1"/>
  <c r="N21" i="7"/>
  <c r="N48" i="7" s="1"/>
  <c r="N49" i="7" s="1"/>
  <c r="N51" i="7" s="1"/>
  <c r="O8" i="11"/>
  <c r="O12" i="11"/>
  <c r="O18" i="11"/>
  <c r="O26" i="11"/>
  <c r="O30" i="11"/>
  <c r="O38" i="11"/>
  <c r="O44" i="11"/>
  <c r="O58" i="11"/>
  <c r="O62" i="11"/>
  <c r="N6" i="11"/>
  <c r="O6" i="11" s="1"/>
  <c r="O5" i="11"/>
  <c r="O66" i="11" s="1"/>
  <c r="N33" i="7" l="1"/>
  <c r="N40" i="7" s="1"/>
  <c r="N41" i="7" s="1"/>
  <c r="N42" i="7" s="1"/>
  <c r="N43" i="7" s="1"/>
  <c r="N59" i="7"/>
  <c r="N66" i="11"/>
  <c r="D70" i="3" l="1"/>
  <c r="E70" i="3" s="1"/>
  <c r="N20" i="5"/>
  <c r="D86" i="3"/>
  <c r="D78" i="3"/>
  <c r="E78" i="3" s="1"/>
  <c r="D16" i="10"/>
  <c r="D15" i="10"/>
  <c r="D3" i="10"/>
  <c r="D4" i="10"/>
  <c r="D5" i="10"/>
  <c r="D6" i="10"/>
  <c r="D7" i="10"/>
  <c r="D8" i="10"/>
  <c r="D9" i="10"/>
  <c r="D10" i="10"/>
  <c r="D11" i="10"/>
  <c r="D12" i="10"/>
  <c r="D13" i="10"/>
  <c r="D2" i="10"/>
  <c r="D65" i="3"/>
  <c r="D63" i="3" s="1"/>
  <c r="D67" i="3"/>
  <c r="E14" i="3"/>
  <c r="E16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75" i="3"/>
  <c r="E79" i="3"/>
  <c r="E80" i="3"/>
  <c r="E81" i="3"/>
  <c r="E82" i="3"/>
  <c r="E83" i="3"/>
  <c r="E84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1" i="3"/>
  <c r="D18" i="3"/>
  <c r="D76" i="3" s="1"/>
  <c r="E76" i="3" s="1"/>
  <c r="B17" i="4"/>
  <c r="E18" i="3" l="1"/>
  <c r="D14" i="3"/>
  <c r="E63" i="3" l="1"/>
  <c r="D80" i="3"/>
  <c r="D72" i="3"/>
  <c r="C118" i="3" l="1"/>
  <c r="C119" i="3"/>
  <c r="D61" i="3"/>
  <c r="E61" i="3" s="1"/>
  <c r="D33" i="3"/>
  <c r="E33" i="3" s="1"/>
  <c r="E13" i="3"/>
  <c r="D12" i="3" l="1"/>
  <c r="D85" i="3" l="1"/>
  <c r="D100" i="3" s="1"/>
  <c r="E100" i="3" s="1"/>
  <c r="E12" i="3"/>
  <c r="E85" i="3" l="1"/>
</calcChain>
</file>

<file path=xl/comments1.xml><?xml version="1.0" encoding="utf-8"?>
<comments xmlns="http://schemas.openxmlformats.org/spreadsheetml/2006/main">
  <authors>
    <author>Автор</author>
  </authors>
  <commentList>
    <comment ref="D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расчет тарифа +энергетический паспорт объекта
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Элма обслуживание оборудования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иски в ФНС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L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дог.№31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Элма обслуживание оборудования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иски в ФНС</t>
        </r>
      </text>
    </comment>
  </commentList>
</comments>
</file>

<file path=xl/sharedStrings.xml><?xml version="1.0" encoding="utf-8"?>
<sst xmlns="http://schemas.openxmlformats.org/spreadsheetml/2006/main" count="1754" uniqueCount="713">
  <si>
    <t>июль</t>
  </si>
  <si>
    <t>август</t>
  </si>
  <si>
    <t>сентябрь</t>
  </si>
  <si>
    <t>Расходы на юридические и информационные услуги</t>
  </si>
  <si>
    <t>Расходы на аудиторские и консультационные услуги</t>
  </si>
  <si>
    <t>Транспортные услуги</t>
  </si>
  <si>
    <t>Расходы по сопровождению сайта</t>
  </si>
  <si>
    <t>Расходы на командировки и представительские услуги</t>
  </si>
  <si>
    <t>Расходы на подготовку кадров</t>
  </si>
  <si>
    <t>Расходы на обеспечение нормальных условий труда и мер по технике безопасности</t>
  </si>
  <si>
    <t>Затраты на приобретение офисной техники</t>
  </si>
  <si>
    <t>Затраты на ГСМ</t>
  </si>
  <si>
    <t>Затраты на коммунальные услуги</t>
  </si>
  <si>
    <t>Прибыль на капитальные вложения</t>
  </si>
  <si>
    <t>Налог на имущество</t>
  </si>
  <si>
    <t>Налог на землю</t>
  </si>
  <si>
    <t>Инвестиционная программа</t>
  </si>
  <si>
    <t>Отчет об исполнении сметы расходов &lt;*&gt;</t>
  </si>
  <si>
    <t>Сроки представления: ежеквартально не позднее 40 календарных дней после отчетного периода</t>
  </si>
  <si>
    <t>Наименование отчитывающейся организации      ЗАО «ГПЗ-ЭСТЕЙТ»</t>
  </si>
  <si>
    <t>Почтовый адрес    344091 г. Ростов-на-Дону, ул. Пескова,1</t>
  </si>
  <si>
    <t>№ п/п</t>
  </si>
  <si>
    <t>Наименование показателя</t>
  </si>
  <si>
    <t>Включено в тариф</t>
  </si>
  <si>
    <t>Подконтрольные расходы всего, в том числе:</t>
  </si>
  <si>
    <t>1.1.</t>
  </si>
  <si>
    <t>Материальные затраты всего, в том числе:</t>
  </si>
  <si>
    <t xml:space="preserve">1.1.1.    </t>
  </si>
  <si>
    <t xml:space="preserve">Сырье, материалы, запасные части, инструмент, топливо              </t>
  </si>
  <si>
    <t xml:space="preserve">из них на ремонт                       </t>
  </si>
  <si>
    <t>1.1.2.</t>
  </si>
  <si>
    <t xml:space="preserve">Работы   и    услуги   производственного характера                        </t>
  </si>
  <si>
    <t xml:space="preserve">1.2.    </t>
  </si>
  <si>
    <t xml:space="preserve">Расходы на оплату труда                </t>
  </si>
  <si>
    <t>1.3.</t>
  </si>
  <si>
    <t>Другие подконтрольные расходы всего, в том числе:</t>
  </si>
  <si>
    <t>Оплата работ и услуг сторонних организаций непроизводственного характера всего, в том числе:</t>
  </si>
  <si>
    <t>Услуги связи</t>
  </si>
  <si>
    <t>Прочие услуги сторонних организаций (с расшифровкой)</t>
  </si>
  <si>
    <t>Расходы на страхование (в т.ч. медицинское)</t>
  </si>
  <si>
    <t>Другие прочие расходы всего, в том числе</t>
  </si>
  <si>
    <t>Арендная плата за землю</t>
  </si>
  <si>
    <t>Расходы на обслуживание заемных средств</t>
  </si>
  <si>
    <t>Другие расходы из прибыли всего, в том числе:</t>
  </si>
  <si>
    <t>Прибыль на социальное развитие</t>
  </si>
  <si>
    <t>Прибыль на поощрение</t>
  </si>
  <si>
    <t>Дивиденды по акциям</t>
  </si>
  <si>
    <t>Прочие расходы из прибыли (с расшифровкой)</t>
  </si>
  <si>
    <t xml:space="preserve">Затраты на хозяйственные нужды   </t>
  </si>
  <si>
    <t>Затраты на канцтовары</t>
  </si>
  <si>
    <t>Неподконтрольные расходы всего, в том числе:</t>
  </si>
  <si>
    <t>Налоги всего, в  том числе:</t>
  </si>
  <si>
    <t>Налог на прибыль</t>
  </si>
  <si>
    <t>Прочие налоги и сборы всего, в том числе:</t>
  </si>
  <si>
    <t>Транспортный налог</t>
  </si>
  <si>
    <t xml:space="preserve">Амортизация основных средств           </t>
  </si>
  <si>
    <t>Расходы, связанные с компенсацией выпадающих доходов, предусмотренных п. 71 Основ ценообразования</t>
  </si>
  <si>
    <t>Расходы на оплату продукции организаций, осуществляющих регулируемые виды деятельности, всего, в том числе:</t>
  </si>
  <si>
    <t xml:space="preserve">Энергия на хозяйственные нужды         </t>
  </si>
  <si>
    <t>Тепловая энергия на хозяйственные нужды</t>
  </si>
  <si>
    <t>Плата за аренду имущества и лизинг</t>
  </si>
  <si>
    <t xml:space="preserve">Отчисления на социальные нужды         </t>
  </si>
  <si>
    <t>Прочие неподконтрольные расходы (с расшифровкой)</t>
  </si>
  <si>
    <t>Итого НВВ</t>
  </si>
  <si>
    <t>Энергия на оплату технологического расхода (потерь) электрической энергии</t>
  </si>
  <si>
    <t>--------------------------------</t>
  </si>
  <si>
    <t>&lt;*&gt; отчетность представляется организациями, регулирование которых производилось с использованием метода экономически обоснованных расходов уровней регулируемых тарифов и цен на розничном (потребительском) рынке электрической энергии (мощности)</t>
  </si>
  <si>
    <r>
      <t>Руководитель организации               ____</t>
    </r>
    <r>
      <rPr>
        <u/>
        <sz val="12"/>
        <color theme="1"/>
        <rFont val="Times New Roman"/>
        <family val="1"/>
        <charset val="204"/>
      </rPr>
      <t>Курсин А.К.</t>
    </r>
    <r>
      <rPr>
        <sz val="12"/>
        <color theme="1"/>
        <rFont val="Times New Roman"/>
        <family val="1"/>
        <charset val="204"/>
      </rPr>
      <t>____      ______________________</t>
    </r>
  </si>
  <si>
    <t xml:space="preserve">                                                                                                             (Ф.И.О.)                                         (подпись)</t>
  </si>
  <si>
    <t>Должностное лицо, ответственное за</t>
  </si>
  <si>
    <t xml:space="preserve">                                                                                        (должность)                                 (Ф.И.О.)                             (подпись)</t>
  </si>
  <si>
    <t xml:space="preserve">           </t>
  </si>
  <si>
    <t xml:space="preserve">                            (номер контактного телефона)                                  (дата составления  документа)</t>
  </si>
  <si>
    <t xml:space="preserve">    </t>
  </si>
  <si>
    <t xml:space="preserve"> </t>
  </si>
  <si>
    <t>Фактически  использовано                   тыс. руб.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</si>
  <si>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</si>
  <si>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</si>
  <si>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</si>
  <si>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</si>
  <si>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</si>
  <si>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</si>
  <si>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</si>
  <si>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</si>
  <si>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</si>
  <si>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</si>
  <si>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</si>
  <si>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</si>
  <si>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</si>
  <si>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</si>
  <si>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</si>
  <si>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</si>
  <si>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</si>
  <si>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</si>
  <si>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</si>
  <si>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</si>
  <si>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</si>
  <si>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</si>
  <si>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</si>
  <si>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2.</t>
  </si>
  <si>
    <t>2.1</t>
  </si>
  <si>
    <t>2.2</t>
  </si>
  <si>
    <t>2.2.1</t>
  </si>
  <si>
    <t>2.2.2</t>
  </si>
  <si>
    <t>2.2.3</t>
  </si>
  <si>
    <t>2.3</t>
  </si>
  <si>
    <t>2.4</t>
  </si>
  <si>
    <t>2.5</t>
  </si>
  <si>
    <t>2.5.1</t>
  </si>
  <si>
    <t>2.5.2</t>
  </si>
  <si>
    <t>2.6</t>
  </si>
  <si>
    <t>2.7</t>
  </si>
  <si>
    <t>2.8</t>
  </si>
  <si>
    <t>3.</t>
  </si>
  <si>
    <t>5.</t>
  </si>
  <si>
    <t>6.</t>
  </si>
  <si>
    <t>7.</t>
  </si>
  <si>
    <t xml:space="preserve">               ___(863) 3-100-200_доб. 806__            «___» __________ 20__ год</t>
  </si>
  <si>
    <t>составление формы                               Ведущий экономист                                         Рыжков А.Ю.</t>
  </si>
  <si>
    <t>Результат деятельности регулируемой оргонизации до перехода к установлению долгосрочного тарифов</t>
  </si>
  <si>
    <t>3.1</t>
  </si>
  <si>
    <t>Расходы, связанные с компенсацией незапланированных расходов (со знаком "плюс") или полученного избытка (со знаком "минус"), выявленный по итогам последнего периода регулирования, за который известны  фактические значения параметров расчета тарифов</t>
  </si>
  <si>
    <t>3.2</t>
  </si>
  <si>
    <t>Корректировака НВВ, осуществляемая в связи с изминением (неиспользованием) инвестиционной программы</t>
  </si>
  <si>
    <t>4</t>
  </si>
  <si>
    <t>3.3</t>
  </si>
  <si>
    <t>Корректировака НВВ по доходам от осуществления регулруемой деятельностиъ</t>
  </si>
  <si>
    <t>Корректировка НВВ с учетом анализа показателей надежности и качества производимых (реализуемых) товаров (услуг)</t>
  </si>
  <si>
    <t>НВВ на содержание электрических сетей</t>
  </si>
  <si>
    <t>8.</t>
  </si>
  <si>
    <t>Форма П-4</t>
  </si>
  <si>
    <t>январь</t>
  </si>
  <si>
    <t>февраль</t>
  </si>
  <si>
    <t>март</t>
  </si>
  <si>
    <t>апрель</t>
  </si>
  <si>
    <t>май</t>
  </si>
  <si>
    <t>июнь</t>
  </si>
  <si>
    <t>октябрь</t>
  </si>
  <si>
    <t>ноябрь</t>
  </si>
  <si>
    <t>декабрь</t>
  </si>
  <si>
    <t>Форма №4
к приложению 1
к постановлению 
Региональной службы по тарифам 
Ростовской области
от 30.09.2014  № 54/4</t>
  </si>
  <si>
    <t>февральАКТ№2601/20626/01</t>
  </si>
  <si>
    <t>ТНС с НДС</t>
  </si>
  <si>
    <t>март АКТ №2601/38568/01</t>
  </si>
  <si>
    <t>2.9</t>
  </si>
  <si>
    <t>2.2.4</t>
  </si>
  <si>
    <t>2.2.5</t>
  </si>
  <si>
    <t>Капитальные вложения производственного характера из прибыли</t>
  </si>
  <si>
    <t>за 2020 года.</t>
  </si>
  <si>
    <t>ЗАО "ГПЗ-Эстейт"</t>
  </si>
  <si>
    <t>Оборотно-сальдовая ведомость по счету 20.01 за Январь 2020 г. - Октябрь 2020 г.</t>
  </si>
  <si>
    <t>Выводимые данные:</t>
  </si>
  <si>
    <t>БУ (данные бухгалтерского учета)</t>
  </si>
  <si>
    <t>Параметры:</t>
  </si>
  <si>
    <t>Валюта БУ, НУ: руб.</t>
  </si>
  <si>
    <t>Счет</t>
  </si>
  <si>
    <t>Сальдо на начало периода</t>
  </si>
  <si>
    <t>Обороты за период</t>
  </si>
  <si>
    <t>Сальдо на конец периода</t>
  </si>
  <si>
    <t>Подразделение</t>
  </si>
  <si>
    <t>Дебет</t>
  </si>
  <si>
    <t>Кредит</t>
  </si>
  <si>
    <t>Типы затрат</t>
  </si>
  <si>
    <t>Статьи затрат</t>
  </si>
  <si>
    <t>20.01</t>
  </si>
  <si>
    <t>1.ГОЛОВНОЕ ПОДРАЗДЕЛЕНИЕ (УК)</t>
  </si>
  <si>
    <t>Прочее</t>
  </si>
  <si>
    <t>Зарплата сотрудников</t>
  </si>
  <si>
    <t>Страховые взносы</t>
  </si>
  <si>
    <t>Страховые взносы в ФСС от НС</t>
  </si>
  <si>
    <t>4.РОСТОВнаДОНУ (ГПЗ)</t>
  </si>
  <si>
    <t>Амортизация инженерных систем и оборудования</t>
  </si>
  <si>
    <t>Амортизация объектов недвижимости 20сч</t>
  </si>
  <si>
    <t>Амортизация прочих ОС на площадке</t>
  </si>
  <si>
    <t>Вода и водоотведение</t>
  </si>
  <si>
    <t>Вывоз мусора, ТБО</t>
  </si>
  <si>
    <t>Прочие расходы на эксплуатацию</t>
  </si>
  <si>
    <t>Расходы по ОТиТБ - спецодежда, медосмотры, разрешения, заключения и т.п.</t>
  </si>
  <si>
    <t>Ремонты и обслуживание энергетического оборудования (сетевая компания)</t>
  </si>
  <si>
    <t>ТО и содержание оборудования и инженерных систем</t>
  </si>
  <si>
    <t>Уборка территории, вывоз снега</t>
  </si>
  <si>
    <t>Услуги охраны</t>
  </si>
  <si>
    <t>Хознужды и инвентарь</t>
  </si>
  <si>
    <t>Экологические расходы</t>
  </si>
  <si>
    <t>Электроэнергия</t>
  </si>
  <si>
    <t>Итого</t>
  </si>
  <si>
    <t>Оборотно-сальдовая ведомость по счету 26 за Январь 2020 г. - Октябрь 2020 г.</t>
  </si>
  <si>
    <t>26</t>
  </si>
  <si>
    <t>Зарплата сотрудников (26 сч)</t>
  </si>
  <si>
    <t>Страховые взносы (26 сч)</t>
  </si>
  <si>
    <t>Страховые взносы (26сч) в ФСС от НС</t>
  </si>
  <si>
    <t>Аренда помещений для собственных нужд</t>
  </si>
  <si>
    <t>Консультации и аудит</t>
  </si>
  <si>
    <t>Обслуживание и покупка ПО (26 сч)</t>
  </si>
  <si>
    <t>Обучение и подбор персонала</t>
  </si>
  <si>
    <t>Охрана труда - обучение, медикаменты и пр.</t>
  </si>
  <si>
    <t>Юридические и нотариальные услуги</t>
  </si>
  <si>
    <t>Оборотно-сальдовая ведомость по счету 60 за Январь 2020 г. - Октябрь 2020 г.</t>
  </si>
  <si>
    <t>Контрагенты</t>
  </si>
  <si>
    <t>60</t>
  </si>
  <si>
    <t>АВИЦЕННА ООО</t>
  </si>
  <si>
    <t>АВС - ЭЛЕКТРО ООО</t>
  </si>
  <si>
    <t>АНЭП-МЕТАЛЛ-ВОРОНЕЖ ООО</t>
  </si>
  <si>
    <t>Архыз, ООО</t>
  </si>
  <si>
    <t>БАШЛАЕВ Иван Дмитриевич ИП</t>
  </si>
  <si>
    <t xml:space="preserve">БУРОВА Н.В. ИП </t>
  </si>
  <si>
    <t>ВитоТерм ООО</t>
  </si>
  <si>
    <t>ВсеИНСТРУМЕНТЫ.РУ ООО</t>
  </si>
  <si>
    <t>ВЫМПЕЛКОМ ПАО подразделение в РнД и Сем</t>
  </si>
  <si>
    <t>ГК ЧИСТЫЙ ГОРОД ООО</t>
  </si>
  <si>
    <t>ГЛУЩЕНКО Лилия Александровна ИП</t>
  </si>
  <si>
    <t>ДРУЖИНА-ГБР ООО ЧОО</t>
  </si>
  <si>
    <t>ИНФОРМЗАЩИТА АО НИП</t>
  </si>
  <si>
    <t>КЕХ еКоммерц ООО</t>
  </si>
  <si>
    <t>КОМПАНИЯ "ЭЮМ" ООО</t>
  </si>
  <si>
    <t>КОМПАНИЯ РАС ООО</t>
  </si>
  <si>
    <t>КОНДОР-ЭЛЕКТРО ООО</t>
  </si>
  <si>
    <t xml:space="preserve">КОНТУР СКБ ПФ АО </t>
  </si>
  <si>
    <t>КОРОБЕЙНИКОВА ВИКТОРИЯ НИКОЛАЕВНА ИП</t>
  </si>
  <si>
    <t>КОЭС ООО</t>
  </si>
  <si>
    <t>КРИПТООФИС ООО</t>
  </si>
  <si>
    <t>ЛЕТУНОВСКАЯ Светлана Степановна ИП</t>
  </si>
  <si>
    <t>МАСТЕРХОСТ ООО ( смена собственности с 01.06.14г.)</t>
  </si>
  <si>
    <t>МТС ПАО (ГОЛОВНОЕ)</t>
  </si>
  <si>
    <t>НОВОКС ООО ГК</t>
  </si>
  <si>
    <t>ООО НПП "ЭЛЕКТРОМАШ"</t>
  </si>
  <si>
    <t>ПОПИК Виктория Игоревна ИП</t>
  </si>
  <si>
    <t>ПРАКТИК-ЦЕНТР ООО</t>
  </si>
  <si>
    <t>РИКОС ООО</t>
  </si>
  <si>
    <t>РИНСТАЛЬСТРОЙ ООО</t>
  </si>
  <si>
    <t>РИЦ-ЭНЕРГО ООО</t>
  </si>
  <si>
    <t>РОССЕТИ ЮГ ПАО</t>
  </si>
  <si>
    <t>РОСТОВСКИЙ ЦСМ ФБУ</t>
  </si>
  <si>
    <t>РОСТСЕЛЬМАШЭНЕРГО ООО</t>
  </si>
  <si>
    <t>РУССКИЕ ТРАВЫ</t>
  </si>
  <si>
    <t>Сизова Юлия Николаевна ИП</t>
  </si>
  <si>
    <t>ТАЙМЕР ООО</t>
  </si>
  <si>
    <t>ТДСЗ ООО</t>
  </si>
  <si>
    <t>ТНС ЭНЕРГО РОСТОВ-НА-ДОНУ ПАО</t>
  </si>
  <si>
    <t>ТПБ УЦ ООО</t>
  </si>
  <si>
    <t>ФИНЭКСПЕРТИЗА  ООО</t>
  </si>
  <si>
    <t>ФРЕГАТ ООО</t>
  </si>
  <si>
    <t>Хархарян Карина Анатольевна</t>
  </si>
  <si>
    <t>Штепа Сергей Владимирович ИП</t>
  </si>
  <si>
    <t>ЭЛМА АО</t>
  </si>
  <si>
    <t>ЭНЕРГОКОМ ООО</t>
  </si>
  <si>
    <t>Южно-Региональный регистратор ООО</t>
  </si>
  <si>
    <t>Оборотно-сальдовая ведомость по счету 91 за Январь 2020 г. - Октябрь 2020 г.</t>
  </si>
  <si>
    <t>Прочие доходы и расходы</t>
  </si>
  <si>
    <t>91</t>
  </si>
  <si>
    <t>&lt;...&gt;</t>
  </si>
  <si>
    <t>Услуги банка</t>
  </si>
  <si>
    <t>%% по депозитам</t>
  </si>
  <si>
    <t>Земельный налог</t>
  </si>
  <si>
    <t>Ликвидация ОС</t>
  </si>
  <si>
    <t>Материальная помощь, компенсация ЗП, корпорат.мероприятия, подарки</t>
  </si>
  <si>
    <t>НДС по кассовым чекам - по ав/отчётам</t>
  </si>
  <si>
    <t>Прибыль (убыток) прошлых лет</t>
  </si>
  <si>
    <t>Реализация материалов и прочего имущества</t>
  </si>
  <si>
    <t>Списание КТ задолженности</t>
  </si>
  <si>
    <t>Стоимость ТМЦ при ликвидации/демонтаже ОС</t>
  </si>
  <si>
    <t>Судебные расходы</t>
  </si>
  <si>
    <t>Уступка права требования долга после наступления срока платежа</t>
  </si>
  <si>
    <t>Штрафы и неустойки по договорам</t>
  </si>
  <si>
    <t>Штрафы и пени в бюджет по налогам и в надзорные органы</t>
  </si>
  <si>
    <t>Оборотно-сальдовая ведомость по счету 10 за Январь 2020 г. - Октябрь 2020 г.</t>
  </si>
  <si>
    <t>Номенклатура</t>
  </si>
  <si>
    <t>10</t>
  </si>
  <si>
    <t>DolleX Насос для перекачки технических жидкостей, ручной груша, резина RPU-008</t>
  </si>
  <si>
    <t>Автоматичексое распределительное устройство (выпрямитель зарядный)</t>
  </si>
  <si>
    <t>Автоматичексое распределительное устройство (выпрямитель подзарядный  для дальнейшего использования)</t>
  </si>
  <si>
    <t>Аккумуляторы стационарные свинцово-кислотные, утратившие потребительские свойства (типа СК-5)</t>
  </si>
  <si>
    <t>Ареометр SPARTA 549125 для измерения плотности электролита</t>
  </si>
  <si>
    <t>Батарейка  GP КРОНА LF22</t>
  </si>
  <si>
    <t>Белье термост-ое "Энергия" (фуф, кальс),трик-ж"Thermoshield KPRO" защ.7 кал./кв.см р.104-108/170-176</t>
  </si>
  <si>
    <t>Белье термост-ое "Энергия" (фуф, кальс),трик-ж"Thermoshield KPRO" защ.7 кал./кв.см р.112-116/170-176</t>
  </si>
  <si>
    <t>Белье термост-ое "Энергия" (фуф, кальс),трик-ж"Thermoshield KPRO" защ.7 кал./кв.см р.96-100/170-176</t>
  </si>
  <si>
    <t>Ботинки "Лига-НИТРО" (100% нитрил), поликарб.подносок, пластик.фурнитура, нат.мех. (шерстин),ст.р.39</t>
  </si>
  <si>
    <t>Ботинки "Лига-НИТРО" (100% нитрил), поликарб.подносок, пластик.фурнитура, нат.мех. (шерстин),ст.р.40</t>
  </si>
  <si>
    <t>Ботинки "Лига-НИТРО" (100% нитрил), поликарб.подносок, пластик.фурнитура, нат.мех. (шерстин),ст.р.41</t>
  </si>
  <si>
    <t>Ботинки "Лига-НИТРО" (100% нитрил), поликарб.подносок, пластик.фурнитура, нат.мех. (шерстин),ст.р.42</t>
  </si>
  <si>
    <t>Ботинки "Лига-НИТРО" (100% нитрил), поликарб.подносок, пластик.фурнитура, стелька р.39</t>
  </si>
  <si>
    <t>Ботинки "Лига-НИТРО" (100% нитрил), поликарб.подносок, пластик.фурнитура, стелька р.40</t>
  </si>
  <si>
    <t>Ботинки "Лига-НИТРО" (100% нитрил), поликарб.подносок, пластик.фурнитура, стелька р.41</t>
  </si>
  <si>
    <t>Ботинки "Лига-НИТРО" (100% нитрил), поликарб.подносок, пластик.фурнитура, стелька р.42</t>
  </si>
  <si>
    <t>Ботинки Марс утепленные_, 38</t>
  </si>
  <si>
    <t>Ботинки Марс утепленные_, 40</t>
  </si>
  <si>
    <t>Ботинки Марс утепленные_, 42</t>
  </si>
  <si>
    <t>Ботинки Марс утепленные_, 45</t>
  </si>
  <si>
    <t>Ботинки Марс утепленные_,43</t>
  </si>
  <si>
    <t>Ботинки СОЮЗ утепленные_, 47</t>
  </si>
  <si>
    <t>Боты диэлектрические 20кВ (пара)</t>
  </si>
  <si>
    <t>ВАЗП-380/260-40/80-УХЛ4-2</t>
  </si>
  <si>
    <t xml:space="preserve">Веник хоз. 3-х прошивный </t>
  </si>
  <si>
    <t>Вкладыш в трудовую книжку нового образца</t>
  </si>
  <si>
    <t>Вода дистиллированная 5л</t>
  </si>
  <si>
    <t>Гербицид "Торнадо" (10л)</t>
  </si>
  <si>
    <t xml:space="preserve">Грунт-эмаль 3 в 1 Зеленый 1,9 кг </t>
  </si>
  <si>
    <t>Грунт-эмаль п/ржавч. "Злата" 1,8кг серый</t>
  </si>
  <si>
    <t>Дюбель-гвоздь д/быстрого монтажа 6*60 мм</t>
  </si>
  <si>
    <t>Дюбель-гвоздь д/быстрого монтажа 6*80 мм</t>
  </si>
  <si>
    <t>Зажим контактный НН к ТМ, ТМГ 1000кВА М33х2</t>
  </si>
  <si>
    <t>Замок навес. ВС 360 Аллюр Стандарт</t>
  </si>
  <si>
    <t>Замок навес. ВС 63</t>
  </si>
  <si>
    <t>ЗАТРАТЫ на хранение и обработку ТМЦ</t>
  </si>
  <si>
    <t>Инфракрасный пирометр TESTO 830-T1 излучение от 0.1 до 1.0 оптика 10:1</t>
  </si>
  <si>
    <t>Кабель силовой КГ 1х50-380</t>
  </si>
  <si>
    <t>Кабель-канал 60х40мм</t>
  </si>
  <si>
    <t>Каска СОМЗ-55 "Фаворит-Термо" (цв. красная)</t>
  </si>
  <si>
    <t>Кепи серая, _</t>
  </si>
  <si>
    <t>Кисть плоская Эконом 63мм</t>
  </si>
  <si>
    <t>Компакт-диск с дистрибутивом  ПО ViPNet Client for Windows 4.x (КС2)</t>
  </si>
  <si>
    <t>Компл. зим."Энергия" тип Г люкс с уровнем защиты до 103 кал./кв.см р.104-108/170-176</t>
  </si>
  <si>
    <t>Компл. зим."Энергия" тип Г люкс с уровнем защиты до 103 кал./кв.см р.112-116/170-176</t>
  </si>
  <si>
    <t>Костюм летний "Энергия": куртка, брюки защита от эл.дуги 32 кал кв.см р.104-108/170-176</t>
  </si>
  <si>
    <t>Костюм летний "Энергия": куртка, брюки защита от эл.дуги 32 кал кв.см р.112-116/170-176</t>
  </si>
  <si>
    <t>Костюм летний "Энергия": куртка, брюки защита от эл.дуги 32 кал кв.см р.96-100/170-176</t>
  </si>
  <si>
    <t>Костюм Мастер куртка+п/к тк грета 52-54/1-2+логотип</t>
  </si>
  <si>
    <t>Костюм Профессионал - 2 т-серый/св-серый, 52-54/182-188</t>
  </si>
  <si>
    <t xml:space="preserve">Круг 200х2,5*22 отрезной (камень) </t>
  </si>
  <si>
    <t>Круг 230х1,8х22 х14А металл Кратон</t>
  </si>
  <si>
    <t>Круг 230х3х22 металл (отрезной) Кратон</t>
  </si>
  <si>
    <t xml:space="preserve">Круг отрезной 230-2,5-22 Кратон </t>
  </si>
  <si>
    <t>Куртка Марс утепл. т-синяя/красная, 60-62/182-188</t>
  </si>
  <si>
    <t>Куртка Сити утепл. т-синий/василек, 48-50/170-176</t>
  </si>
  <si>
    <t>Куртка Сити утепл. т-синий/василек, 52-54/170-176</t>
  </si>
  <si>
    <t>Куртка Сити утепл. т-синий/василек, 52-54/182-188</t>
  </si>
  <si>
    <t>Куртка-накидка "Энергия" защита от эл.дуги 50 кал кв.см р.104-108/170-176</t>
  </si>
  <si>
    <t>Куртка-накидка "Энергия" защита от эл.дуги 50 кал кв.см р.112-116/170-176</t>
  </si>
  <si>
    <t>Куртка-накидка "Энергия" защита от эл.дуги 50 кал кв.см р.96-100/170-176</t>
  </si>
  <si>
    <t>Куртка-рубашка для защ. от эл.дуги "Энергия" 7 кал/кв.см р.104-108/170-176</t>
  </si>
  <si>
    <t>Куртка-рубашка для защ. от эл.дуги "Энергия" 7 кал/кв.см р.112-116/170-176</t>
  </si>
  <si>
    <t>Куртка-рубашка для защ. от эл.дуги "Энергия" 7 кал/кв.см р.96-100/170-176</t>
  </si>
  <si>
    <t>Логотип цветной, №63</t>
  </si>
  <si>
    <t>Маска защитная из нетканных материалов</t>
  </si>
  <si>
    <t>Маска защитная, лицевая из нетканного материала</t>
  </si>
  <si>
    <t>Надфиля в наборе пластик.ручка</t>
  </si>
  <si>
    <t>Наконечник медный ТМЛ 50-10-11 Т2 (опрес. луж.) КЗОЦМ 557810</t>
  </si>
  <si>
    <t>Наконечник медный ТМЛ 6-6-4 (опрес.) луженый КВТ</t>
  </si>
  <si>
    <t>Нательное белье зимнее оливковое,  48-50</t>
  </si>
  <si>
    <t>Нательное белье зимнее оливковое, 52-54</t>
  </si>
  <si>
    <t>Очки защитные</t>
  </si>
  <si>
    <t>Перчатки Кислощелочностойкие Тип 1L</t>
  </si>
  <si>
    <t>Перчатки латексные (пара) ПЕР001</t>
  </si>
  <si>
    <t>Перчатки термостойкие "Энергия" трикотаж"Thermoshield KPRO" защ.7 кал./кв.см</t>
  </si>
  <si>
    <t>Подшлемник 1 слой летний термостойкий "Энергия"/трикотаж"Thermoshield KPRO" защ.7 кал./кв.см</t>
  </si>
  <si>
    <t>Подшлемник зимний термостойкий "Энергия", утепленный защита 50 кал./кв.см</t>
  </si>
  <si>
    <t>Полотно д/ножовки по металлу</t>
  </si>
  <si>
    <t>Полуботинки Марс_,45</t>
  </si>
  <si>
    <t>Провод ПВС 2х6 Б (бухта) (м) - РЭК-РRYSMIAN 0102070201</t>
  </si>
  <si>
    <t>РОСТНЕФТЬ масло трансформаторное ГК бочка 216,5л</t>
  </si>
  <si>
    <t>Сапоги резин. утепл.</t>
  </si>
  <si>
    <t>Сверло п/метал. НSS-R Ду 12,0*151мм (Германия)</t>
  </si>
  <si>
    <t>Сверло по бетону Профи 6*150мм</t>
  </si>
  <si>
    <t>Свитер-фуфайка термост-кий "Энергия" трикотаж"Thermoshield KPRO" защ.25 кал./кв.см р.104-108/170-176</t>
  </si>
  <si>
    <t>Свитер-фуфайка термост-кий "Энергия" трикотаж"Thermoshield KPRO" защ.25 кал./кв.см р.112-116/170-176</t>
  </si>
  <si>
    <t>Свитер-фуфайка термост-кий "Энергия" трикотаж"Thermoshield KPRO" защ.25 кал./кв.см р.96-100/170-176</t>
  </si>
  <si>
    <t>Смазка Литокол-24 400г.</t>
  </si>
  <si>
    <t>Смазка Циатим - 201 банка 0,8кг. НЗСМ</t>
  </si>
  <si>
    <t>Сотовый телефон BQ 2432 Tank SE Camouflage (3520 57115989786)</t>
  </si>
  <si>
    <t>Счетчик электроэнергии СЕ304 S32 402-JAАQ2HY трехфазный многотар1(1.5) класс точности 0,2s/0,5Щ, ЖКИ</t>
  </si>
  <si>
    <t>Теплоизлучатель 200Вт/220В/Е27</t>
  </si>
  <si>
    <t>Технический спрей ВД-40 200мл.</t>
  </si>
  <si>
    <t>Технический спрей ВД-40 400мл.</t>
  </si>
  <si>
    <t>Топографическая съемка участка по адресу: г. Ростов-на-Дону, ул. Малиновского, 20/98а</t>
  </si>
  <si>
    <t>Торнадо 540 ВР (540г/л)</t>
  </si>
  <si>
    <t>Трудовая книжка нового образца</t>
  </si>
  <si>
    <t>Уайт-спирит 5,0 л</t>
  </si>
  <si>
    <t>Угл р/пол о/т А ГОСТ 8509-93 Ст3пс/сп5 63х5 дл 12м (ЗСМК)</t>
  </si>
  <si>
    <t>Угловая шлифмашина ИНТЕРСКОЛ УШМ-230/2100М 60.1.2.00</t>
  </si>
  <si>
    <t xml:space="preserve">Фонарь аккамулят. Космос </t>
  </si>
  <si>
    <t>Фонарь-прожектор аккамулят. SBF-401-1-K</t>
  </si>
  <si>
    <t>Футболка василек 50</t>
  </si>
  <si>
    <t>Футболка Престиж василек, XXL (54)</t>
  </si>
  <si>
    <t>Шайба пл.усилен. М6 (25шт.) НТК</t>
  </si>
  <si>
    <t>Шапка вязаная на флисе темно-синяя, _</t>
  </si>
  <si>
    <t>Шина медная 4х40х2000мм М1</t>
  </si>
  <si>
    <t>Шлиф.шкурка 220мм КК19 ХW М40</t>
  </si>
  <si>
    <t>Щиток КБТ "ENERGO" (04197)</t>
  </si>
  <si>
    <t>Электродвигатель АИР 63А4 ТР У1 0,25кВт*1500об/мин 3281 с металл.крыльчаткой (ЭНЕРАЛ-ПР)</t>
  </si>
  <si>
    <t>Электроды АНО 21 D3 Стандарт</t>
  </si>
  <si>
    <t>Электроды Ду3 АНО21 1кг Стандарт</t>
  </si>
  <si>
    <t>+/-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</si>
  <si>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</si>
  <si>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</si>
  <si>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</si>
  <si>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</si>
  <si>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</si>
  <si>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</si>
  <si>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</si>
  <si>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</si>
  <si>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</si>
  <si>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</si>
  <si>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</si>
  <si>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</si>
  <si>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График ремонтов в 2020г</t>
  </si>
  <si>
    <t>п/п</t>
  </si>
  <si>
    <t>Строение</t>
  </si>
  <si>
    <t>Вид работ</t>
  </si>
  <si>
    <t>Стоимость без НДС</t>
  </si>
  <si>
    <t>Срок выполнения работ</t>
  </si>
  <si>
    <t>Месяц</t>
  </si>
  <si>
    <t>Квартал</t>
  </si>
  <si>
    <t>Примечание</t>
  </si>
  <si>
    <t>Вид затрат</t>
  </si>
  <si>
    <t>Цена без НДС</t>
  </si>
  <si>
    <t>НДС</t>
  </si>
  <si>
    <t>Всего с НДС</t>
  </si>
  <si>
    <t>Р-9</t>
  </si>
  <si>
    <t>Поверка ТТ в ЗРУ-6кВ Р-9</t>
  </si>
  <si>
    <t>12.05-29.05.20</t>
  </si>
  <si>
    <t>2кв</t>
  </si>
  <si>
    <t>в связи с истечением срока межповерочного интервала</t>
  </si>
  <si>
    <t>содержание</t>
  </si>
  <si>
    <t>ДП 83/19/ГЭ</t>
  </si>
  <si>
    <t xml:space="preserve"> Смета№1 </t>
  </si>
  <si>
    <t>Ремонт кровли здания ЗРУ- 6кВ Р-9  490кв.м</t>
  </si>
  <si>
    <t>03.08-17.08.20</t>
  </si>
  <si>
    <t>3кв</t>
  </si>
  <si>
    <t>в связи с длительным сроком эксплуатации</t>
  </si>
  <si>
    <t>ДП 79/19/ГЭ</t>
  </si>
  <si>
    <t xml:space="preserve"> Смета№6 </t>
  </si>
  <si>
    <t>Деф акт №33</t>
  </si>
  <si>
    <t>Ремонт разъединителей 35 кВ 2 шт в ПС Р-9</t>
  </si>
  <si>
    <t>07.09-21.09.20</t>
  </si>
  <si>
    <t xml:space="preserve"> Смета№10 </t>
  </si>
  <si>
    <t>Деф акт №36</t>
  </si>
  <si>
    <t>РП-2</t>
  </si>
  <si>
    <t>Ремонт ТН  1 с.ш. 2 .с.ш.</t>
  </si>
  <si>
    <t>06.07-20.07.20</t>
  </si>
  <si>
    <t>ДП 81/19/ГЭ</t>
  </si>
  <si>
    <t>Деф акт №30/1; Деф акт №30/2</t>
  </si>
  <si>
    <t>РП-5</t>
  </si>
  <si>
    <t>Ремонт ТН  1 с.ш. 2 .с.ш. ф 503, ф 504</t>
  </si>
  <si>
    <t>12.05-28.05.20</t>
  </si>
  <si>
    <t>ДП 80/19/ГЭ</t>
  </si>
  <si>
    <t xml:space="preserve"> Смета№9 </t>
  </si>
  <si>
    <t>Деф акт №26/1 ; Деф акт №26/2</t>
  </si>
  <si>
    <t>ТП-1</t>
  </si>
  <si>
    <t>Ремонт тр-р№2 в ТП</t>
  </si>
  <si>
    <t>01.04-17.04.20</t>
  </si>
  <si>
    <t xml:space="preserve"> Смета№11 </t>
  </si>
  <si>
    <t>Деф акт №27</t>
  </si>
  <si>
    <t>Ремонт АВМ тр-р№1, тр-р№2 , секц АВМ   в ТП</t>
  </si>
  <si>
    <t>15.04-22.04.20</t>
  </si>
  <si>
    <t xml:space="preserve"> Смета№12</t>
  </si>
  <si>
    <t>Деф акт №01</t>
  </si>
  <si>
    <t>ТП-4</t>
  </si>
  <si>
    <t>Ремонт АВМ тр-р№7, тр-р№8 , секц АВМ   в ТП</t>
  </si>
  <si>
    <t>02.03-09.03.20</t>
  </si>
  <si>
    <t xml:space="preserve"> Смета№14 </t>
  </si>
  <si>
    <t>Деф акт №02</t>
  </si>
  <si>
    <t>Ремонт РЗА тр-р№7, тр-р№8 в ТП</t>
  </si>
  <si>
    <t>09.03-16.03.20</t>
  </si>
  <si>
    <t xml:space="preserve"> Смета№15 </t>
  </si>
  <si>
    <t>Деф акт №14</t>
  </si>
  <si>
    <t>Ремонт помещения ТП (  строй)</t>
  </si>
  <si>
    <t>16.03-30.03.20</t>
  </si>
  <si>
    <t xml:space="preserve"> Смета№16 </t>
  </si>
  <si>
    <t>Деф акт №37</t>
  </si>
  <si>
    <t>Ремонт помещения ТП (  эл. монт)</t>
  </si>
  <si>
    <t xml:space="preserve"> Смета №16-1</t>
  </si>
  <si>
    <t>ТП-9</t>
  </si>
  <si>
    <t>Ремонт  АВМ тр-р№17, тр-р№18 , секц АВМ   в ТП-9</t>
  </si>
  <si>
    <t>01.10-08.10.20</t>
  </si>
  <si>
    <t>4кв</t>
  </si>
  <si>
    <t xml:space="preserve"> Смета№3 </t>
  </si>
  <si>
    <t>Деф акт №04</t>
  </si>
  <si>
    <t>Ремонт РЗА тр-р№17, тр-р№18 в ТП</t>
  </si>
  <si>
    <t>08.10-15.10.20</t>
  </si>
  <si>
    <t xml:space="preserve"> Смета№4</t>
  </si>
  <si>
    <t>Деф акт №17</t>
  </si>
  <si>
    <t>ТП-10</t>
  </si>
  <si>
    <t>Ремонт  АВМ тр-р№19, тр-р№20 , секц АВМ   в ТП</t>
  </si>
  <si>
    <t>05.10-12.10.20</t>
  </si>
  <si>
    <t xml:space="preserve"> Смета№7</t>
  </si>
  <si>
    <t>Деф акт №05</t>
  </si>
  <si>
    <t>Ремонт РЗА тр-р№19, тр-р№20 в ТП</t>
  </si>
  <si>
    <t>12.10-19.10.20</t>
  </si>
  <si>
    <t xml:space="preserve"> Смета№8</t>
  </si>
  <si>
    <t>Деф акт №18</t>
  </si>
  <si>
    <t>Ремонт помещения ТП (  вент, освещ, окраска)</t>
  </si>
  <si>
    <t>19.10-31.10.20</t>
  </si>
  <si>
    <t xml:space="preserve"> Смета№9 ; </t>
  </si>
  <si>
    <t>Деф акт №39</t>
  </si>
  <si>
    <t xml:space="preserve"> Смета №9-1</t>
  </si>
  <si>
    <t>ТП-11</t>
  </si>
  <si>
    <t>Ремонт АВМ тр-р№21, тр-р№22 , секц АВМ   в ТП</t>
  </si>
  <si>
    <t>06.05-13.05.20</t>
  </si>
  <si>
    <t>Деф акт №06</t>
  </si>
  <si>
    <t>Ремонт РЗА тр-р№21, тр-р№22 в ТП</t>
  </si>
  <si>
    <t>13.05-20.05.20</t>
  </si>
  <si>
    <t>Деф акт №19</t>
  </si>
  <si>
    <t>20.05-29.05.20</t>
  </si>
  <si>
    <t xml:space="preserve"> Смета№13</t>
  </si>
  <si>
    <t>Деф акт №40</t>
  </si>
  <si>
    <t>Смета №13-1</t>
  </si>
  <si>
    <t>ТП-12</t>
  </si>
  <si>
    <t>Ремонт тр-р№23 в ТП</t>
  </si>
  <si>
    <t>01.07-15.07.20</t>
  </si>
  <si>
    <t xml:space="preserve"> Смета№18 </t>
  </si>
  <si>
    <t>Деф акт №28</t>
  </si>
  <si>
    <t>Ремонт тр-р№24 в ТП</t>
  </si>
  <si>
    <t>15.07-29.07.20</t>
  </si>
  <si>
    <t>Деф акт №29</t>
  </si>
  <si>
    <t>Ремонт АВМ тр-р№23, тр-р№24 , секц АВМ   в ТП</t>
  </si>
  <si>
    <t>01.07-08.07.20</t>
  </si>
  <si>
    <t xml:space="preserve"> Смета№19</t>
  </si>
  <si>
    <t>Деф акт №03</t>
  </si>
  <si>
    <t>Ремонт РЗА тр-р№23, тр-р№24 в ТП</t>
  </si>
  <si>
    <t>08.07-15.07.20</t>
  </si>
  <si>
    <t xml:space="preserve"> Смета№20</t>
  </si>
  <si>
    <t>Деф акт №15</t>
  </si>
  <si>
    <t>ТП-14</t>
  </si>
  <si>
    <t>Ремонт РЗА тр-р№28, тр-р№27 в ТП</t>
  </si>
  <si>
    <t>08.06-15.06.20</t>
  </si>
  <si>
    <t>Деф акт №20</t>
  </si>
  <si>
    <t>ТП-15</t>
  </si>
  <si>
    <t>Ремонт АВМ тр-р№29, тр-р№30 , секц АВМ   в ТП-15</t>
  </si>
  <si>
    <t>01.06.-08.06.20</t>
  </si>
  <si>
    <t>Деф акт №07</t>
  </si>
  <si>
    <t>08.06-22.06.20</t>
  </si>
  <si>
    <t>Деф акт №41</t>
  </si>
  <si>
    <t>Смета №19-1</t>
  </si>
  <si>
    <t>ТП-16</t>
  </si>
  <si>
    <t>Ремонт АВМ тр-р№31, тр-р№32 , секц АВМ   в ТП</t>
  </si>
  <si>
    <t>03.08-10.08.20</t>
  </si>
  <si>
    <t xml:space="preserve"> Смета№21</t>
  </si>
  <si>
    <t>Деф акт №08</t>
  </si>
  <si>
    <t>Ремонт РЗА тр-р№31, тр-р№32 в ТП</t>
  </si>
  <si>
    <t>10.08-17.08.20</t>
  </si>
  <si>
    <t xml:space="preserve"> Смета№22</t>
  </si>
  <si>
    <t>Деф акт №21</t>
  </si>
  <si>
    <t>17.08-31.08.20</t>
  </si>
  <si>
    <t xml:space="preserve"> Смета №23 </t>
  </si>
  <si>
    <t>Деф акт №42</t>
  </si>
  <si>
    <t xml:space="preserve">Смета №23-1 </t>
  </si>
  <si>
    <t>ТП-17</t>
  </si>
  <si>
    <t>Ремонт АВМ тр-р№33, тр-р№34 , секц АВМ   в ТП</t>
  </si>
  <si>
    <t>01.09-07.09.20</t>
  </si>
  <si>
    <t xml:space="preserve"> Смета№25</t>
  </si>
  <si>
    <t>Деф акт №09</t>
  </si>
  <si>
    <t>Ремонт РЗА тр-р№33, тр-р№34 в ТП</t>
  </si>
  <si>
    <t>07.09-14.09.20</t>
  </si>
  <si>
    <t xml:space="preserve"> Смета№26</t>
  </si>
  <si>
    <t>Деф акт №22</t>
  </si>
  <si>
    <t>14.09-28.09.20</t>
  </si>
  <si>
    <t xml:space="preserve"> Смета№27</t>
  </si>
  <si>
    <t>Деф акт №43</t>
  </si>
  <si>
    <t>Смета №27-1</t>
  </si>
  <si>
    <t>ТП-19</t>
  </si>
  <si>
    <t>Ремонт тр-р№37 в ТП</t>
  </si>
  <si>
    <t>06.05-22.05.20</t>
  </si>
  <si>
    <t xml:space="preserve"> Смета№30</t>
  </si>
  <si>
    <t>Деф акт №31</t>
  </si>
  <si>
    <t>Ремонт тр-р№38 в ТП</t>
  </si>
  <si>
    <t>02.03-16.03.20</t>
  </si>
  <si>
    <t>1кв</t>
  </si>
  <si>
    <t>Деф акт №32</t>
  </si>
  <si>
    <t>Ремонт АВМ тр-р№37, тр-р№38 , секц АВМ   в ТП</t>
  </si>
  <si>
    <t>16.06-22.06.20</t>
  </si>
  <si>
    <t xml:space="preserve"> Смета№31</t>
  </si>
  <si>
    <t>Деф акт №10</t>
  </si>
  <si>
    <t>ТП-24</t>
  </si>
  <si>
    <t>Ремонт КЛ-6кВ РП-2 - ТП-24 к тр-ру №47</t>
  </si>
  <si>
    <t>01.06.-29.06.20</t>
  </si>
  <si>
    <t xml:space="preserve"> Смета№32</t>
  </si>
  <si>
    <t>Деф акт №44</t>
  </si>
  <si>
    <t>Ремонт КЛ-6кВ РП-2 - ТП-24 к тр-ру №47 уч-к №2</t>
  </si>
  <si>
    <t xml:space="preserve"> Смета№49</t>
  </si>
  <si>
    <t>Исп КЛ-6кВ РП-2 - ТП-24 к тр-ру №47</t>
  </si>
  <si>
    <t>Смета №49-1</t>
  </si>
  <si>
    <t>ТП-25</t>
  </si>
  <si>
    <t>Ремонт РЗА тр-р№49, тр-р№50 в ТП</t>
  </si>
  <si>
    <t>16.03-23.03.20</t>
  </si>
  <si>
    <t xml:space="preserve"> Смета№23</t>
  </si>
  <si>
    <t>Деф акт №16</t>
  </si>
  <si>
    <t>01.09-14.09.20</t>
  </si>
  <si>
    <t xml:space="preserve"> Смета№24</t>
  </si>
  <si>
    <t>Деф акт №38</t>
  </si>
  <si>
    <t>Смета №24-1</t>
  </si>
  <si>
    <t>Рем КЛ  ф 918 - ф 508 РП-5 уч №1</t>
  </si>
  <si>
    <t>Авар.откл</t>
  </si>
  <si>
    <t xml:space="preserve"> Смета№46</t>
  </si>
  <si>
    <t>Исп КЛ  ф 918 - ф 508 РП-5 уч №1</t>
  </si>
  <si>
    <t xml:space="preserve"> Смета№46-1</t>
  </si>
  <si>
    <t>Рем КЛ  ф 918 - ф 508 РП-5 уч №2</t>
  </si>
  <si>
    <t xml:space="preserve"> Смета№47</t>
  </si>
  <si>
    <t>Исп КЛ  ф 918 - ф 508 РП-5 уч №2</t>
  </si>
  <si>
    <t xml:space="preserve"> Смета№47-1</t>
  </si>
  <si>
    <t>Рем КЛ  ф 918 - ф 508 РП-5 уч №3</t>
  </si>
  <si>
    <t xml:space="preserve"> Смета№48</t>
  </si>
  <si>
    <t>Исп КЛ  ф 918 - ф 508 РП-5 уч №3</t>
  </si>
  <si>
    <t xml:space="preserve"> Смета№48-1</t>
  </si>
  <si>
    <t>ТП-26</t>
  </si>
  <si>
    <t>Ремонт АВМ тр-р№52, тр-р№51 , секц АВМ   в ТП</t>
  </si>
  <si>
    <t>02.11-09.11.20</t>
  </si>
  <si>
    <t xml:space="preserve"> Смета№35</t>
  </si>
  <si>
    <t>Деф акт №11</t>
  </si>
  <si>
    <t>Ремонт РЗА тр-р№52, тр-р№51 в ТП</t>
  </si>
  <si>
    <t>09.11-16.11.20</t>
  </si>
  <si>
    <t xml:space="preserve"> Смета№36</t>
  </si>
  <si>
    <t>Деф акт №23</t>
  </si>
  <si>
    <t>ТП-27</t>
  </si>
  <si>
    <t>Ремонт АВМ тр-р№53, тр-р№54 , секц АВМ   в ТП</t>
  </si>
  <si>
    <t>16.11-23.11.20</t>
  </si>
  <si>
    <t xml:space="preserve"> Смета№38</t>
  </si>
  <si>
    <t>Деф акт №12</t>
  </si>
  <si>
    <t>Ремонт РЗА тр-р№53, тр-р№54 в ТП</t>
  </si>
  <si>
    <t>23.11-30.11.20</t>
  </si>
  <si>
    <t xml:space="preserve"> Смета№39</t>
  </si>
  <si>
    <t>Деф акт №24</t>
  </si>
  <si>
    <t>ТП-28</t>
  </si>
  <si>
    <t>Ремонт АВМ тр-р№55, тр-р№56 , секц АВМ   в ТП</t>
  </si>
  <si>
    <t>15.10-22.10.20</t>
  </si>
  <si>
    <t xml:space="preserve"> Смета№40</t>
  </si>
  <si>
    <t>Деф акт №13</t>
  </si>
  <si>
    <t>Ремонт РЗА тр-р№55, тр-р№56 в ТП</t>
  </si>
  <si>
    <t>22.10-29.10.20</t>
  </si>
  <si>
    <t xml:space="preserve"> Смета№41</t>
  </si>
  <si>
    <t>Деф акт №25</t>
  </si>
  <si>
    <t>Сумма инвестиций по Тендеру</t>
  </si>
  <si>
    <t>Аванс</t>
  </si>
  <si>
    <t>Окончательный платеж</t>
  </si>
  <si>
    <t>ПС Р-9 110/35/6 Замена высоковольтных вводов 110 кВ Т-1, Т-2 кол-ве 6 шт</t>
  </si>
  <si>
    <t>03.08-31.08.20</t>
  </si>
  <si>
    <t>инвестиции</t>
  </si>
  <si>
    <t>ДП 31/20/ГЭ</t>
  </si>
  <si>
    <t>Деф акт №</t>
  </si>
  <si>
    <t xml:space="preserve">Р-9 </t>
  </si>
  <si>
    <t>ПС Р-9 110/35/6 , ЗРУ-6кВ .Замена масляных выключателей на вакуумные в ячееках 6кВ  ф 925 ( 1с.ш.), ф 922 (2с.ш.), ф 953 (3с.ш.), ф 926 (2 с.ш.), ф 950 (4 с.ш.),  ф 940 (2 с.ш.)</t>
  </si>
  <si>
    <t>02.03-31.03.20</t>
  </si>
  <si>
    <t>устаревшее оборудование,моральный и физический износ</t>
  </si>
  <si>
    <t>ДП 41/20/ГЭ</t>
  </si>
  <si>
    <t>Деф акт №41/20</t>
  </si>
  <si>
    <t>ПС Р-9 110/35/6, ЗРУ-6кВ. Замена релейной защиты ячеек 6кВ  ф 925 ( 1с.ш.), ф 922 (2с.ш.), ф 953 (3с.ш.), ф 926 (2 с.ш.), ф 950 (4 с.ш.),  ф 940 (2 с.ш.)</t>
  </si>
  <si>
    <t>устаревшее оборудование, сложность эксплуатации и адаптации с новыми ячейками.</t>
  </si>
  <si>
    <t>ДП 40/20/ГЭ</t>
  </si>
  <si>
    <t>Деф акт №40/20</t>
  </si>
  <si>
    <t>Итого стоимость  работ:</t>
  </si>
  <si>
    <t>Всего Содерж</t>
  </si>
  <si>
    <t xml:space="preserve">работы и услуги производственного характера </t>
  </si>
  <si>
    <t>Остаток Содерж</t>
  </si>
  <si>
    <t xml:space="preserve">амортизация </t>
  </si>
  <si>
    <t>Всего инвест</t>
  </si>
  <si>
    <t>Остаток Инвест</t>
  </si>
  <si>
    <t>кап вложения из прибыли</t>
  </si>
  <si>
    <t>Доп за надежность</t>
  </si>
  <si>
    <t xml:space="preserve">Всего по Тарифу </t>
  </si>
  <si>
    <t>Разница " Тариф - План рем"</t>
  </si>
  <si>
    <t>ремонт КЛ</t>
  </si>
  <si>
    <t>испыт</t>
  </si>
  <si>
    <t>1 ОМП</t>
  </si>
  <si>
    <t>ф 918</t>
  </si>
  <si>
    <t>2 ОМП</t>
  </si>
  <si>
    <t>3 ОМП</t>
  </si>
  <si>
    <t>Мат</t>
  </si>
  <si>
    <t>Охрана, пожарная безопасность</t>
  </si>
  <si>
    <t>Программное обеспечение</t>
  </si>
  <si>
    <t>Работы</t>
  </si>
  <si>
    <t>Сайт</t>
  </si>
  <si>
    <t>аренда</t>
  </si>
  <si>
    <t>регистратор ООО</t>
  </si>
  <si>
    <t>работы</t>
  </si>
  <si>
    <t>1.3.24</t>
  </si>
  <si>
    <t>1.3.25</t>
  </si>
  <si>
    <t>1.3.26</t>
  </si>
  <si>
    <r>
      <t>(квартал, полугодие,</t>
    </r>
    <r>
      <rPr>
        <u/>
        <sz val="12"/>
        <color theme="1"/>
        <rFont val="Times New Roman"/>
        <family val="1"/>
        <charset val="204"/>
      </rPr>
      <t xml:space="preserve"> 9 месяцев</t>
    </r>
    <r>
      <rPr>
        <sz val="12"/>
        <color theme="1"/>
        <rFont val="Times New Roman"/>
        <family val="1"/>
        <charset val="204"/>
      </rPr>
      <t>, год)</t>
    </r>
  </si>
  <si>
    <r>
      <t>(квартал,</t>
    </r>
    <r>
      <rPr>
        <u/>
        <sz val="12"/>
        <color theme="1"/>
        <rFont val="Times New Roman"/>
        <family val="1"/>
        <charset val="204"/>
      </rPr>
      <t xml:space="preserve"> полугодие</t>
    </r>
    <r>
      <rPr>
        <sz val="12"/>
        <color theme="1"/>
        <rFont val="Times New Roman"/>
        <family val="1"/>
        <charset val="204"/>
      </rPr>
      <t>, 9 месяцев, год)</t>
    </r>
  </si>
  <si>
    <t>Такси</t>
  </si>
  <si>
    <t>Автобус</t>
  </si>
  <si>
    <t>Маршрутка</t>
  </si>
  <si>
    <t>Сигареты</t>
  </si>
  <si>
    <t>свод ГПЭ</t>
  </si>
  <si>
    <t>Вид деятельности</t>
  </si>
  <si>
    <t>Итого год</t>
  </si>
  <si>
    <t>Тариф</t>
  </si>
  <si>
    <t>дельта</t>
  </si>
  <si>
    <t>Дельта</t>
  </si>
  <si>
    <t>тариф</t>
  </si>
  <si>
    <t>р-9</t>
  </si>
  <si>
    <t>Канцтовары и бумага</t>
  </si>
  <si>
    <t>площадка</t>
  </si>
  <si>
    <t>Командировочные расходы (проезд)</t>
  </si>
  <si>
    <t>Обслуживание и покупка ПО</t>
  </si>
  <si>
    <t>Охрана труда - обучение</t>
  </si>
  <si>
    <t>Прочее содержание офиса</t>
  </si>
  <si>
    <t>Техника безопасности, спецодежда</t>
  </si>
  <si>
    <t xml:space="preserve">Охрана </t>
  </si>
  <si>
    <t>Амортизация инженерных систем и оборудования (кап.вложения)</t>
  </si>
  <si>
    <t>Амортизация прочих ОС на площадке (кап.вложения)</t>
  </si>
  <si>
    <t>Амортизация объектов недвижимости 20сч (кап.вложения)</t>
  </si>
  <si>
    <t>Ремонты (капитальные вложения/инвестиции тарифное дело)</t>
  </si>
  <si>
    <t>Электроэнергия потери</t>
  </si>
  <si>
    <t>Электроэнергия собственное</t>
  </si>
  <si>
    <t>ДМС сотрудников</t>
  </si>
  <si>
    <t xml:space="preserve">убыток </t>
  </si>
  <si>
    <t>Материалы</t>
  </si>
  <si>
    <t>Налоги (земельный налог, налог на имущество)</t>
  </si>
  <si>
    <t xml:space="preserve">Прочее </t>
  </si>
  <si>
    <t>прочее</t>
  </si>
  <si>
    <t>Агентское вознаграждение</t>
  </si>
  <si>
    <t>газ</t>
  </si>
  <si>
    <t>реклама и маркетинг</t>
  </si>
  <si>
    <t>услуги оценки</t>
  </si>
  <si>
    <t>Ремонты зданий, сооружений</t>
  </si>
  <si>
    <t>страхование недвижимости</t>
  </si>
  <si>
    <t>уборка помещений</t>
  </si>
  <si>
    <t>уборка территории</t>
  </si>
  <si>
    <t>хоз нужды</t>
  </si>
  <si>
    <r>
      <t xml:space="preserve">(квартал, полугодие, 9 месяцев, </t>
    </r>
    <r>
      <rPr>
        <u/>
        <sz val="12"/>
        <color theme="1"/>
        <rFont val="Times New Roman"/>
        <family val="1"/>
        <charset val="204"/>
      </rPr>
      <t>год</t>
    </r>
    <r>
      <rPr>
        <sz val="12"/>
        <color theme="1"/>
        <rFont val="Times New Roman"/>
        <family val="1"/>
        <charset val="204"/>
      </rPr>
      <t>)</t>
    </r>
  </si>
  <si>
    <t>https://assioi.skts.ti-ees.ru/jsf/f?p=145:3725:14050819805804:::::#/main/135689/135690/docList/pr340-fr74-s2-import</t>
  </si>
  <si>
    <t>за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</si>
</sst>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0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name val="Arial"/>
    </font>
    <font>
      <sz val="9"/>
      <name val="Arial"/>
    </font>
    <font>
      <sz val="11"/>
      <color theme="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27" fillId="0" borderId="0"/>
    <xf numFmtId="0" fontId="17" fillId="0" borderId="0"/>
    <xf numFmtId="0" fontId="6" fillId="0" borderId="0"/>
    <xf numFmtId="0" fontId="1" fillId="0" borderId="0"/>
  </cellStyleXfs>
  <cellXfs count="319"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164" fontId="0" fillId="0" borderId="0" xfId="0" applyNumberFormat="1" applyFill="1"/>
    <xf numFmtId="4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/>
    <xf numFmtId="0" fontId="0" fillId="3" borderId="0" xfId="0" applyFill="1"/>
    <xf numFmtId="164" fontId="14" fillId="2" borderId="0" xfId="0" applyNumberFormat="1" applyFont="1" applyFill="1"/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1" fillId="0" borderId="0" xfId="0" applyNumberFormat="1" applyFont="1" applyAlignment="1">
      <alignment vertical="top"/>
    </xf>
    <xf numFmtId="0" fontId="20" fillId="5" borderId="12" xfId="0" applyNumberFormat="1" applyFont="1" applyFill="1" applyBorder="1" applyAlignment="1">
      <alignment horizontal="right" vertical="top" wrapText="1"/>
    </xf>
    <xf numFmtId="0" fontId="20" fillId="5" borderId="13" xfId="0" applyNumberFormat="1" applyFont="1" applyFill="1" applyBorder="1" applyAlignment="1">
      <alignment horizontal="right" vertical="top" wrapText="1"/>
    </xf>
    <xf numFmtId="0" fontId="20" fillId="5" borderId="4" xfId="0" applyNumberFormat="1" applyFont="1" applyFill="1" applyBorder="1" applyAlignment="1">
      <alignment horizontal="right" vertical="top" wrapText="1"/>
    </xf>
    <xf numFmtId="4" fontId="20" fillId="5" borderId="4" xfId="0" applyNumberFormat="1" applyFont="1" applyFill="1" applyBorder="1" applyAlignment="1">
      <alignment horizontal="right" vertical="top" wrapText="1"/>
    </xf>
    <xf numFmtId="0" fontId="20" fillId="6" borderId="12" xfId="0" applyNumberFormat="1" applyFont="1" applyFill="1" applyBorder="1" applyAlignment="1">
      <alignment horizontal="right" vertical="top" wrapText="1"/>
    </xf>
    <xf numFmtId="0" fontId="20" fillId="6" borderId="13" xfId="0" applyNumberFormat="1" applyFont="1" applyFill="1" applyBorder="1" applyAlignment="1">
      <alignment horizontal="right" vertical="top" wrapText="1"/>
    </xf>
    <xf numFmtId="0" fontId="20" fillId="6" borderId="4" xfId="0" applyNumberFormat="1" applyFont="1" applyFill="1" applyBorder="1" applyAlignment="1">
      <alignment horizontal="right" vertical="top" wrapText="1"/>
    </xf>
    <xf numFmtId="4" fontId="20" fillId="6" borderId="4" xfId="0" applyNumberFormat="1" applyFont="1" applyFill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righ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4" xfId="0" applyNumberFormat="1" applyFont="1" applyBorder="1" applyAlignment="1">
      <alignment horizontal="right" vertical="top" wrapText="1"/>
    </xf>
    <xf numFmtId="4" fontId="0" fillId="0" borderId="4" xfId="0" applyNumberFormat="1" applyFont="1" applyBorder="1" applyAlignment="1">
      <alignment horizontal="right" vertical="top" wrapText="1"/>
    </xf>
    <xf numFmtId="2" fontId="0" fillId="0" borderId="4" xfId="0" applyNumberFormat="1" applyFont="1" applyBorder="1" applyAlignment="1">
      <alignment horizontal="right" vertical="top" wrapText="1"/>
    </xf>
    <xf numFmtId="0" fontId="21" fillId="4" borderId="12" xfId="0" applyNumberFormat="1" applyFont="1" applyFill="1" applyBorder="1" applyAlignment="1">
      <alignment horizontal="right" vertical="top" wrapText="1"/>
    </xf>
    <xf numFmtId="0" fontId="21" fillId="4" borderId="13" xfId="0" applyNumberFormat="1" applyFont="1" applyFill="1" applyBorder="1" applyAlignment="1">
      <alignment horizontal="right" vertical="top" wrapText="1"/>
    </xf>
    <xf numFmtId="0" fontId="21" fillId="4" borderId="4" xfId="0" applyNumberFormat="1" applyFont="1" applyFill="1" applyBorder="1" applyAlignment="1">
      <alignment horizontal="right" vertical="top" wrapText="1"/>
    </xf>
    <xf numFmtId="4" fontId="21" fillId="4" borderId="4" xfId="0" applyNumberFormat="1" applyFont="1" applyFill="1" applyBorder="1" applyAlignment="1">
      <alignment horizontal="right" vertical="top" wrapText="1"/>
    </xf>
    <xf numFmtId="2" fontId="2" fillId="0" borderId="14" xfId="5" applyNumberForma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0" fillId="0" borderId="0" xfId="0" applyNumberFormat="1"/>
    <xf numFmtId="0" fontId="23" fillId="0" borderId="0" xfId="0" applyFont="1"/>
    <xf numFmtId="4" fontId="23" fillId="0" borderId="0" xfId="0" applyNumberFormat="1" applyFont="1"/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4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28" fillId="8" borderId="2" xfId="6" applyFont="1" applyFill="1" applyBorder="1" applyAlignment="1">
      <alignment horizontal="center" vertical="center"/>
    </xf>
    <xf numFmtId="3" fontId="28" fillId="8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center" vertical="center" wrapText="1"/>
    </xf>
    <xf numFmtId="4" fontId="7" fillId="9" borderId="2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center" vertical="center" wrapText="1"/>
    </xf>
    <xf numFmtId="4" fontId="7" fillId="10" borderId="2" xfId="0" applyNumberFormat="1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left" vertical="center" wrapText="1"/>
    </xf>
    <xf numFmtId="4" fontId="29" fillId="11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left" vertical="center" wrapText="1"/>
    </xf>
    <xf numFmtId="4" fontId="29" fillId="12" borderId="2" xfId="0" applyNumberFormat="1" applyFont="1" applyFill="1" applyBorder="1" applyAlignment="1">
      <alignment horizontal="center" vertical="center" wrapText="1"/>
    </xf>
    <xf numFmtId="4" fontId="7" fillId="12" borderId="2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Alignment="1">
      <alignment horizontal="center" vertical="center" wrapText="1"/>
    </xf>
    <xf numFmtId="0" fontId="29" fillId="13" borderId="1" xfId="0" applyFont="1" applyFill="1" applyBorder="1" applyAlignment="1">
      <alignment horizontal="left" vertical="center" wrapText="1"/>
    </xf>
    <xf numFmtId="4" fontId="29" fillId="13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0" fillId="8" borderId="1" xfId="7" applyFont="1" applyFill="1" applyBorder="1" applyAlignment="1">
      <alignment horizontal="center" vertical="center" wrapText="1"/>
    </xf>
    <xf numFmtId="3" fontId="30" fillId="8" borderId="1" xfId="0" applyNumberFormat="1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4" fontId="23" fillId="2" borderId="2" xfId="0" applyNumberFormat="1" applyFont="1" applyFill="1" applyBorder="1" applyAlignment="1">
      <alignment horizontal="center" vertical="center" wrapText="1"/>
    </xf>
    <xf numFmtId="3" fontId="7" fillId="8" borderId="3" xfId="0" applyNumberFormat="1" applyFont="1" applyFill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3" fontId="8" fillId="15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16" borderId="1" xfId="0" applyFont="1" applyFill="1" applyBorder="1" applyAlignment="1">
      <alignment horizontal="center" vertical="center" wrapText="1"/>
    </xf>
    <xf numFmtId="3" fontId="8" fillId="16" borderId="1" xfId="0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right" vertical="top" wrapText="1"/>
    </xf>
    <xf numFmtId="0" fontId="0" fillId="2" borderId="13" xfId="0" applyNumberFormat="1" applyFont="1" applyFill="1" applyBorder="1" applyAlignment="1">
      <alignment horizontal="right" vertical="top" wrapText="1"/>
    </xf>
    <xf numFmtId="4" fontId="0" fillId="2" borderId="4" xfId="0" applyNumberFormat="1" applyFont="1" applyFill="1" applyBorder="1" applyAlignment="1">
      <alignment horizontal="right" vertical="top" wrapText="1"/>
    </xf>
    <xf numFmtId="3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vertical="top"/>
    </xf>
    <xf numFmtId="0" fontId="0" fillId="2" borderId="4" xfId="0" applyNumberFormat="1" applyFont="1" applyFill="1" applyBorder="1" applyAlignment="1">
      <alignment horizontal="right" vertical="top" wrapText="1"/>
    </xf>
    <xf numFmtId="0" fontId="2" fillId="7" borderId="12" xfId="0" applyNumberFormat="1" applyFont="1" applyFill="1" applyBorder="1" applyAlignment="1">
      <alignment horizontal="right" vertical="top" wrapText="1"/>
    </xf>
    <xf numFmtId="0" fontId="2" fillId="7" borderId="13" xfId="0" applyNumberFormat="1" applyFont="1" applyFill="1" applyBorder="1" applyAlignment="1">
      <alignment horizontal="right" vertical="top" wrapText="1"/>
    </xf>
    <xf numFmtId="4" fontId="2" fillId="7" borderId="4" xfId="0" applyNumberFormat="1" applyFont="1" applyFill="1" applyBorder="1" applyAlignment="1">
      <alignment horizontal="right" vertical="top" wrapText="1"/>
    </xf>
    <xf numFmtId="0" fontId="2" fillId="7" borderId="4" xfId="0" applyNumberFormat="1" applyFont="1" applyFill="1" applyBorder="1" applyAlignment="1">
      <alignment horizontal="right" vertical="top" wrapText="1"/>
    </xf>
    <xf numFmtId="0" fontId="2" fillId="7" borderId="0" xfId="0" applyFont="1" applyFill="1"/>
    <xf numFmtId="2" fontId="2" fillId="7" borderId="4" xfId="0" applyNumberFormat="1" applyFont="1" applyFill="1" applyBorder="1" applyAlignment="1">
      <alignment horizontal="right" vertical="top" wrapText="1"/>
    </xf>
    <xf numFmtId="0" fontId="2" fillId="7" borderId="1" xfId="0" applyNumberFormat="1" applyFont="1" applyFill="1" applyBorder="1" applyAlignment="1">
      <alignment vertical="top" wrapText="1" indent="2"/>
    </xf>
    <xf numFmtId="0" fontId="0" fillId="7" borderId="12" xfId="0" applyNumberFormat="1" applyFont="1" applyFill="1" applyBorder="1" applyAlignment="1">
      <alignment horizontal="right" vertical="top" wrapText="1"/>
    </xf>
    <xf numFmtId="0" fontId="0" fillId="7" borderId="13" xfId="0" applyNumberFormat="1" applyFont="1" applyFill="1" applyBorder="1" applyAlignment="1">
      <alignment horizontal="right" vertical="top" wrapText="1"/>
    </xf>
    <xf numFmtId="4" fontId="0" fillId="7" borderId="4" xfId="0" applyNumberFormat="1" applyFont="1" applyFill="1" applyBorder="1" applyAlignment="1">
      <alignment horizontal="right" vertical="top" wrapText="1"/>
    </xf>
    <xf numFmtId="0" fontId="0" fillId="7" borderId="4" xfId="0" applyNumberFormat="1" applyFont="1" applyFill="1" applyBorder="1" applyAlignment="1">
      <alignment horizontal="right" vertical="top" wrapText="1"/>
    </xf>
    <xf numFmtId="0" fontId="0" fillId="7" borderId="0" xfId="0" applyFill="1"/>
    <xf numFmtId="0" fontId="2" fillId="2" borderId="12" xfId="0" applyNumberFormat="1" applyFont="1" applyFill="1" applyBorder="1" applyAlignment="1">
      <alignment horizontal="right" vertical="top" wrapText="1"/>
    </xf>
    <xf numFmtId="0" fontId="2" fillId="2" borderId="13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righ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2" fillId="2" borderId="0" xfId="0" applyFont="1" applyFill="1"/>
    <xf numFmtId="4" fontId="0" fillId="0" borderId="12" xfId="0" applyNumberFormat="1" applyFont="1" applyBorder="1" applyAlignment="1">
      <alignment vertical="top" wrapText="1"/>
    </xf>
    <xf numFmtId="4" fontId="0" fillId="0" borderId="13" xfId="0" applyNumberFormat="1" applyFont="1" applyBorder="1" applyAlignment="1">
      <alignment vertical="top" wrapText="1"/>
    </xf>
    <xf numFmtId="4" fontId="2" fillId="7" borderId="12" xfId="0" applyNumberFormat="1" applyFont="1" applyFill="1" applyBorder="1" applyAlignment="1">
      <alignment vertical="top" wrapText="1"/>
    </xf>
    <xf numFmtId="4" fontId="2" fillId="7" borderId="13" xfId="0" applyNumberFormat="1" applyFont="1" applyFill="1" applyBorder="1" applyAlignment="1">
      <alignment vertical="top" wrapText="1"/>
    </xf>
    <xf numFmtId="2" fontId="0" fillId="0" borderId="12" xfId="0" applyNumberFormat="1" applyFont="1" applyBorder="1" applyAlignment="1">
      <alignment vertical="top" wrapText="1"/>
    </xf>
    <xf numFmtId="2" fontId="0" fillId="0" borderId="13" xfId="0" applyNumberFormat="1" applyFont="1" applyBorder="1" applyAlignment="1">
      <alignment vertical="top" wrapText="1"/>
    </xf>
    <xf numFmtId="4" fontId="0" fillId="7" borderId="12" xfId="0" applyNumberFormat="1" applyFont="1" applyFill="1" applyBorder="1" applyAlignment="1">
      <alignment vertical="top" wrapText="1"/>
    </xf>
    <xf numFmtId="4" fontId="0" fillId="7" borderId="13" xfId="0" applyNumberFormat="1" applyFont="1" applyFill="1" applyBorder="1" applyAlignment="1">
      <alignment vertical="top" wrapText="1"/>
    </xf>
    <xf numFmtId="4" fontId="0" fillId="2" borderId="12" xfId="0" applyNumberFormat="1" applyFont="1" applyFill="1" applyBorder="1" applyAlignment="1">
      <alignment vertical="top" wrapText="1"/>
    </xf>
    <xf numFmtId="4" fontId="0" fillId="2" borderId="13" xfId="0" applyNumberFormat="1" applyFont="1" applyFill="1" applyBorder="1" applyAlignment="1">
      <alignment vertical="top" wrapText="1"/>
    </xf>
    <xf numFmtId="4" fontId="2" fillId="2" borderId="12" xfId="0" applyNumberFormat="1" applyFont="1" applyFill="1" applyBorder="1" applyAlignment="1">
      <alignment vertical="top" wrapText="1"/>
    </xf>
    <xf numFmtId="4" fontId="2" fillId="2" borderId="13" xfId="0" applyNumberFormat="1" applyFont="1" applyFill="1" applyBorder="1" applyAlignment="1">
      <alignment vertical="top" wrapText="1"/>
    </xf>
    <xf numFmtId="4" fontId="21" fillId="4" borderId="12" xfId="0" applyNumberFormat="1" applyFont="1" applyFill="1" applyBorder="1" applyAlignment="1">
      <alignment vertical="top" wrapText="1"/>
    </xf>
    <xf numFmtId="4" fontId="21" fillId="4" borderId="13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17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4" fontId="34" fillId="0" borderId="1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0" fontId="35" fillId="0" borderId="1" xfId="8" applyNumberFormat="1" applyFont="1" applyFill="1" applyBorder="1" applyAlignment="1">
      <alignment horizontal="center" vertical="center" wrapText="1"/>
    </xf>
    <xf numFmtId="4" fontId="35" fillId="2" borderId="1" xfId="8" applyNumberFormat="1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 vertical="center"/>
    </xf>
    <xf numFmtId="4" fontId="35" fillId="0" borderId="1" xfId="8" applyNumberFormat="1" applyFont="1" applyFill="1" applyBorder="1" applyAlignment="1">
      <alignment horizontal="center" vertical="center" wrapText="1"/>
    </xf>
    <xf numFmtId="1" fontId="32" fillId="0" borderId="0" xfId="0" applyNumberFormat="1" applyFont="1" applyFill="1" applyAlignment="1">
      <alignment horizontal="center" vertical="center"/>
    </xf>
    <xf numFmtId="4" fontId="35" fillId="7" borderId="1" xfId="8" applyNumberFormat="1" applyFont="1" applyFill="1" applyBorder="1" applyAlignment="1">
      <alignment horizontal="center" vertical="center" wrapText="1"/>
    </xf>
    <xf numFmtId="4" fontId="36" fillId="2" borderId="1" xfId="8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4" fontId="32" fillId="7" borderId="1" xfId="0" applyNumberFormat="1" applyFont="1" applyFill="1" applyBorder="1" applyAlignment="1">
      <alignment horizontal="center" vertical="center"/>
    </xf>
    <xf numFmtId="4" fontId="37" fillId="0" borderId="1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Alignment="1">
      <alignment horizontal="center" vertical="center"/>
    </xf>
    <xf numFmtId="4" fontId="35" fillId="17" borderId="1" xfId="8" applyNumberFormat="1" applyFont="1" applyFill="1" applyBorder="1" applyAlignment="1">
      <alignment horizontal="center" vertical="center" wrapText="1"/>
    </xf>
    <xf numFmtId="4" fontId="38" fillId="0" borderId="1" xfId="8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1" xfId="8" applyNumberFormat="1" applyFont="1" applyFill="1" applyBorder="1" applyAlignment="1">
      <alignment horizontal="center" vertical="center" wrapText="1"/>
    </xf>
    <xf numFmtId="4" fontId="39" fillId="0" borderId="1" xfId="8" applyNumberFormat="1" applyFont="1" applyFill="1" applyBorder="1" applyAlignment="1">
      <alignment horizontal="center" vertical="center" wrapText="1"/>
    </xf>
    <xf numFmtId="0" fontId="38" fillId="0" borderId="1" xfId="8" applyNumberFormat="1" applyFont="1" applyFill="1" applyBorder="1" applyAlignment="1">
      <alignment horizontal="center" vertical="center" wrapText="1"/>
    </xf>
    <xf numFmtId="4" fontId="34" fillId="7" borderId="1" xfId="0" applyNumberFormat="1" applyFont="1" applyFill="1" applyBorder="1" applyAlignment="1">
      <alignment horizontal="center" vertical="center"/>
    </xf>
    <xf numFmtId="4" fontId="37" fillId="7" borderId="1" xfId="0" applyNumberFormat="1" applyFont="1" applyFill="1" applyBorder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 wrapText="1"/>
    </xf>
    <xf numFmtId="0" fontId="32" fillId="18" borderId="0" xfId="0" applyFont="1" applyFill="1" applyAlignment="1">
      <alignment horizontal="center" vertical="center"/>
    </xf>
    <xf numFmtId="0" fontId="32" fillId="18" borderId="1" xfId="0" applyFont="1" applyFill="1" applyBorder="1" applyAlignment="1">
      <alignment horizontal="center" vertical="center"/>
    </xf>
    <xf numFmtId="0" fontId="35" fillId="18" borderId="1" xfId="8" applyNumberFormat="1" applyFont="1" applyFill="1" applyBorder="1" applyAlignment="1">
      <alignment horizontal="center" vertical="center" wrapText="1"/>
    </xf>
    <xf numFmtId="4" fontId="35" fillId="18" borderId="1" xfId="8" applyNumberFormat="1" applyFont="1" applyFill="1" applyBorder="1" applyAlignment="1">
      <alignment horizontal="center" vertical="center" wrapText="1"/>
    </xf>
    <xf numFmtId="4" fontId="32" fillId="18" borderId="1" xfId="0" applyNumberFormat="1" applyFont="1" applyFill="1" applyBorder="1" applyAlignment="1">
      <alignment horizontal="center" vertical="center"/>
    </xf>
    <xf numFmtId="0" fontId="0" fillId="18" borderId="0" xfId="0" applyFill="1"/>
    <xf numFmtId="4" fontId="0" fillId="18" borderId="1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38" fillId="0" borderId="2" xfId="8" applyNumberFormat="1" applyFont="1" applyFill="1" applyBorder="1" applyAlignment="1">
      <alignment horizontal="center" vertical="center" wrapText="1"/>
    </xf>
    <xf numFmtId="0" fontId="38" fillId="0" borderId="3" xfId="8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4" fontId="32" fillId="7" borderId="18" xfId="0" applyNumberFormat="1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4" fontId="32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32" fillId="0" borderId="17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vertical="top" wrapText="1" indent="3"/>
    </xf>
    <xf numFmtId="4" fontId="0" fillId="0" borderId="4" xfId="0" applyNumberFormat="1" applyFont="1" applyBorder="1" applyAlignment="1">
      <alignment horizontal="right" vertical="top" wrapText="1"/>
    </xf>
    <xf numFmtId="0" fontId="21" fillId="4" borderId="4" xfId="0" applyNumberFormat="1" applyFont="1" applyFill="1" applyBorder="1" applyAlignment="1">
      <alignment vertical="top"/>
    </xf>
    <xf numFmtId="4" fontId="21" fillId="4" borderId="4" xfId="0" applyNumberFormat="1" applyFont="1" applyFill="1" applyBorder="1" applyAlignment="1">
      <alignment horizontal="right" vertical="top" wrapText="1"/>
    </xf>
    <xf numFmtId="2" fontId="0" fillId="0" borderId="4" xfId="0" applyNumberFormat="1" applyFont="1" applyBorder="1" applyAlignment="1">
      <alignment horizontal="right" vertical="top" wrapText="1"/>
    </xf>
    <xf numFmtId="0" fontId="20" fillId="6" borderId="4" xfId="0" applyNumberFormat="1" applyFont="1" applyFill="1" applyBorder="1" applyAlignment="1">
      <alignment vertical="top" wrapText="1" indent="1"/>
    </xf>
    <xf numFmtId="4" fontId="20" fillId="6" borderId="4" xfId="0" applyNumberFormat="1" applyFont="1" applyFill="1" applyBorder="1" applyAlignment="1">
      <alignment horizontal="right" vertical="top" wrapText="1"/>
    </xf>
    <xf numFmtId="0" fontId="0" fillId="0" borderId="4" xfId="0" applyNumberFormat="1" applyFont="1" applyBorder="1" applyAlignment="1">
      <alignment vertical="top" wrapText="1" indent="2"/>
    </xf>
    <xf numFmtId="0" fontId="22" fillId="4" borderId="5" xfId="0" applyNumberFormat="1" applyFont="1" applyFill="1" applyBorder="1" applyAlignment="1">
      <alignment horizontal="center" vertical="top"/>
    </xf>
    <xf numFmtId="0" fontId="22" fillId="4" borderId="6" xfId="0" applyNumberFormat="1" applyFont="1" applyFill="1" applyBorder="1" applyAlignment="1">
      <alignment horizontal="center" vertical="top"/>
    </xf>
    <xf numFmtId="0" fontId="22" fillId="4" borderId="7" xfId="0" applyNumberFormat="1" applyFont="1" applyFill="1" applyBorder="1" applyAlignment="1">
      <alignment horizontal="center" vertical="top"/>
    </xf>
    <xf numFmtId="0" fontId="22" fillId="4" borderId="9" xfId="0" applyNumberFormat="1" applyFont="1" applyFill="1" applyBorder="1" applyAlignment="1">
      <alignment horizontal="center" vertical="top"/>
    </xf>
    <xf numFmtId="0" fontId="22" fillId="4" borderId="10" xfId="0" applyNumberFormat="1" applyFont="1" applyFill="1" applyBorder="1" applyAlignment="1">
      <alignment horizontal="center" vertical="top"/>
    </xf>
    <xf numFmtId="0" fontId="21" fillId="4" borderId="4" xfId="0" applyNumberFormat="1" applyFont="1" applyFill="1" applyBorder="1" applyAlignment="1">
      <alignment vertical="top" wrapText="1"/>
    </xf>
    <xf numFmtId="0" fontId="20" fillId="5" borderId="4" xfId="0" applyNumberFormat="1" applyFont="1" applyFill="1" applyBorder="1" applyAlignment="1">
      <alignment vertical="top" wrapText="1"/>
    </xf>
    <xf numFmtId="4" fontId="20" fillId="5" borderId="4" xfId="0" applyNumberFormat="1" applyFont="1" applyFill="1" applyBorder="1" applyAlignment="1">
      <alignment horizontal="right" vertical="top" wrapText="1"/>
    </xf>
    <xf numFmtId="0" fontId="22" fillId="4" borderId="8" xfId="0" applyNumberFormat="1" applyFont="1" applyFill="1" applyBorder="1" applyAlignment="1">
      <alignment horizontal="center" vertical="top"/>
    </xf>
    <xf numFmtId="0" fontId="22" fillId="4" borderId="11" xfId="0" applyNumberFormat="1" applyFont="1" applyFill="1" applyBorder="1" applyAlignment="1">
      <alignment horizontal="center" vertical="top"/>
    </xf>
    <xf numFmtId="0" fontId="18" fillId="0" borderId="0" xfId="0" applyNumberFormat="1" applyFont="1" applyAlignment="1">
      <alignment wrapText="1"/>
    </xf>
    <xf numFmtId="0" fontId="19" fillId="0" borderId="0" xfId="0" applyNumberFormat="1" applyFont="1" applyAlignment="1">
      <alignment wrapText="1"/>
    </xf>
    <xf numFmtId="0" fontId="20" fillId="0" borderId="0" xfId="0" applyNumberFormat="1" applyFont="1" applyAlignment="1">
      <alignment vertical="top" wrapText="1"/>
    </xf>
    <xf numFmtId="0" fontId="22" fillId="4" borderId="4" xfId="0" applyNumberFormat="1" applyFont="1" applyFill="1" applyBorder="1" applyAlignment="1">
      <alignment horizontal="center" vertical="top"/>
    </xf>
    <xf numFmtId="0" fontId="2" fillId="7" borderId="4" xfId="0" applyNumberFormat="1" applyFont="1" applyFill="1" applyBorder="1" applyAlignment="1">
      <alignment vertical="top" wrapText="1" indent="2"/>
    </xf>
    <xf numFmtId="0" fontId="0" fillId="2" borderId="4" xfId="0" applyNumberFormat="1" applyFont="1" applyFill="1" applyBorder="1" applyAlignment="1">
      <alignment vertical="top" wrapText="1" indent="2"/>
    </xf>
    <xf numFmtId="4" fontId="0" fillId="2" borderId="4" xfId="0" applyNumberFormat="1" applyFont="1" applyFill="1" applyBorder="1" applyAlignment="1">
      <alignment horizontal="right" vertical="top" wrapText="1"/>
    </xf>
    <xf numFmtId="4" fontId="2" fillId="7" borderId="4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vertical="top" wrapText="1" indent="2"/>
    </xf>
    <xf numFmtId="2" fontId="2" fillId="7" borderId="4" xfId="0" applyNumberFormat="1" applyFont="1" applyFill="1" applyBorder="1" applyAlignment="1">
      <alignment horizontal="right" vertical="top" wrapText="1"/>
    </xf>
    <xf numFmtId="0" fontId="0" fillId="2" borderId="4" xfId="0" applyNumberFormat="1" applyFont="1" applyFill="1" applyBorder="1" applyAlignment="1">
      <alignment horizontal="right" vertical="top" wrapText="1"/>
    </xf>
    <xf numFmtId="0" fontId="24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vertical="top" wrapText="1" indent="2"/>
    </xf>
    <xf numFmtId="0" fontId="32" fillId="0" borderId="0" xfId="9" applyFont="1" applyFill="1" applyAlignment="1">
      <alignment horizontal="center" vertical="center"/>
    </xf>
    <xf numFmtId="0" fontId="32" fillId="0" borderId="1" xfId="9" applyFont="1" applyFill="1" applyBorder="1" applyAlignment="1">
      <alignment horizontal="center" vertical="center"/>
    </xf>
    <xf numFmtId="0" fontId="33" fillId="0" borderId="1" xfId="9" applyFont="1" applyFill="1" applyBorder="1" applyAlignment="1">
      <alignment horizontal="center" vertical="center"/>
    </xf>
    <xf numFmtId="0" fontId="34" fillId="0" borderId="1" xfId="9" applyFont="1" applyFill="1" applyBorder="1" applyAlignment="1">
      <alignment horizontal="center" vertical="center" wrapText="1"/>
    </xf>
    <xf numFmtId="17" fontId="34" fillId="0" borderId="1" xfId="9" applyNumberFormat="1" applyFont="1" applyFill="1" applyBorder="1" applyAlignment="1">
      <alignment horizontal="center" vertical="center"/>
    </xf>
    <xf numFmtId="0" fontId="34" fillId="0" borderId="1" xfId="9" applyFont="1" applyFill="1" applyBorder="1" applyAlignment="1">
      <alignment horizontal="center" vertical="center"/>
    </xf>
    <xf numFmtId="0" fontId="34" fillId="0" borderId="17" xfId="9" applyFont="1" applyFill="1" applyBorder="1" applyAlignment="1">
      <alignment horizontal="center" vertical="center"/>
    </xf>
    <xf numFmtId="0" fontId="34" fillId="0" borderId="2" xfId="9" applyFont="1" applyFill="1" applyBorder="1" applyAlignment="1">
      <alignment horizontal="center" vertical="center"/>
    </xf>
    <xf numFmtId="0" fontId="34" fillId="0" borderId="3" xfId="9" applyFont="1" applyFill="1" applyBorder="1" applyAlignment="1">
      <alignment horizontal="center" vertical="center"/>
    </xf>
    <xf numFmtId="4" fontId="34" fillId="0" borderId="1" xfId="9" applyNumberFormat="1" applyFont="1" applyFill="1" applyBorder="1" applyAlignment="1">
      <alignment horizontal="center" vertical="center"/>
    </xf>
    <xf numFmtId="4" fontId="32" fillId="0" borderId="0" xfId="9" applyNumberFormat="1" applyFont="1" applyFill="1" applyAlignment="1">
      <alignment horizontal="center" vertical="center"/>
    </xf>
    <xf numFmtId="4" fontId="32" fillId="0" borderId="1" xfId="9" applyNumberFormat="1" applyFont="1" applyFill="1" applyBorder="1" applyAlignment="1">
      <alignment horizontal="center" vertical="center"/>
    </xf>
    <xf numFmtId="4" fontId="32" fillId="0" borderId="18" xfId="9" applyNumberFormat="1" applyFont="1" applyFill="1" applyBorder="1" applyAlignment="1">
      <alignment horizontal="center" vertical="center"/>
    </xf>
    <xf numFmtId="1" fontId="32" fillId="0" borderId="0" xfId="9" applyNumberFormat="1" applyFont="1" applyFill="1" applyAlignment="1">
      <alignment horizontal="center" vertical="center"/>
    </xf>
    <xf numFmtId="4" fontId="32" fillId="0" borderId="1" xfId="9" applyNumberFormat="1" applyFont="1" applyFill="1" applyBorder="1" applyAlignment="1">
      <alignment horizontal="center" vertical="center"/>
    </xf>
    <xf numFmtId="0" fontId="32" fillId="0" borderId="19" xfId="9" applyFont="1" applyFill="1" applyBorder="1" applyAlignment="1">
      <alignment horizontal="center" vertical="center"/>
    </xf>
    <xf numFmtId="0" fontId="1" fillId="0" borderId="1" xfId="9" applyFill="1" applyBorder="1" applyAlignment="1">
      <alignment horizontal="center" vertical="center"/>
    </xf>
    <xf numFmtId="0" fontId="1" fillId="0" borderId="19" xfId="9" applyFill="1" applyBorder="1" applyAlignment="1">
      <alignment horizontal="center" vertical="center"/>
    </xf>
    <xf numFmtId="4" fontId="32" fillId="0" borderId="17" xfId="9" applyNumberFormat="1" applyFont="1" applyFill="1" applyBorder="1" applyAlignment="1">
      <alignment horizontal="center" vertical="center" wrapText="1"/>
    </xf>
    <xf numFmtId="0" fontId="32" fillId="7" borderId="0" xfId="9" applyFont="1" applyFill="1" applyAlignment="1">
      <alignment horizontal="center" vertical="center"/>
    </xf>
    <xf numFmtId="0" fontId="32" fillId="7" borderId="1" xfId="9" applyFont="1" applyFill="1" applyBorder="1" applyAlignment="1">
      <alignment horizontal="center" vertical="center"/>
    </xf>
    <xf numFmtId="0" fontId="35" fillId="7" borderId="1" xfId="8" applyNumberFormat="1" applyFont="1" applyFill="1" applyBorder="1" applyAlignment="1">
      <alignment horizontal="center" vertical="center" wrapText="1"/>
    </xf>
    <xf numFmtId="4" fontId="32" fillId="7" borderId="1" xfId="9" applyNumberFormat="1" applyFont="1" applyFill="1" applyBorder="1" applyAlignment="1">
      <alignment horizontal="center" vertical="center"/>
    </xf>
    <xf numFmtId="4" fontId="1" fillId="7" borderId="1" xfId="9" applyNumberFormat="1" applyFill="1" applyBorder="1" applyAlignment="1">
      <alignment horizontal="center" vertical="center"/>
    </xf>
    <xf numFmtId="4" fontId="37" fillId="0" borderId="1" xfId="9" applyNumberFormat="1" applyFont="1" applyFill="1" applyBorder="1" applyAlignment="1">
      <alignment horizontal="center" vertical="center"/>
    </xf>
    <xf numFmtId="4" fontId="37" fillId="0" borderId="0" xfId="9" applyNumberFormat="1" applyFont="1" applyFill="1" applyAlignment="1">
      <alignment horizontal="center" vertical="center"/>
    </xf>
    <xf numFmtId="0" fontId="35" fillId="0" borderId="1" xfId="9" applyFont="1" applyFill="1" applyBorder="1" applyAlignment="1">
      <alignment horizontal="center" vertical="center"/>
    </xf>
    <xf numFmtId="0" fontId="39" fillId="0" borderId="1" xfId="9" applyFont="1" applyFill="1" applyBorder="1" applyAlignment="1">
      <alignment horizontal="center" vertical="center"/>
    </xf>
    <xf numFmtId="4" fontId="32" fillId="3" borderId="0" xfId="9" applyNumberFormat="1" applyFont="1" applyFill="1" applyAlignment="1">
      <alignment horizontal="center" vertical="center"/>
    </xf>
    <xf numFmtId="4" fontId="32" fillId="17" borderId="1" xfId="9" applyNumberFormat="1" applyFont="1" applyFill="1" applyBorder="1" applyAlignment="1">
      <alignment horizontal="center" vertical="center"/>
    </xf>
    <xf numFmtId="4" fontId="32" fillId="2" borderId="1" xfId="9" applyNumberFormat="1" applyFont="1" applyFill="1" applyBorder="1" applyAlignment="1">
      <alignment horizontal="center" vertical="center"/>
    </xf>
    <xf numFmtId="4" fontId="37" fillId="17" borderId="1" xfId="9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 wrapText="1"/>
    </xf>
    <xf numFmtId="2" fontId="15" fillId="7" borderId="1" xfId="0" applyNumberFormat="1" applyFont="1" applyFill="1" applyBorder="1" applyAlignment="1">
      <alignment horizontal="center" vertical="center"/>
    </xf>
    <xf numFmtId="4" fontId="10" fillId="7" borderId="1" xfId="0" applyNumberFormat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/>
    </xf>
  </cellXfs>
  <cellStyles count="10">
    <cellStyle name="Обычный" xfId="0" builtinId="0"/>
    <cellStyle name="Обычный 2" xfId="1"/>
    <cellStyle name="Обычный 3" xfId="2"/>
    <cellStyle name="Обычный 30" xfId="6"/>
    <cellStyle name="Обычный 4" xfId="3"/>
    <cellStyle name="Обычный 5" xfId="4"/>
    <cellStyle name="Обычный 6" xfId="5"/>
    <cellStyle name="Обычный 7" xfId="7"/>
    <cellStyle name="Обычный 8" xfId="9"/>
    <cellStyle name="Обычный_затраты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gi-09\AppData\Local\Microsoft\Windows\Temporary%20Internet%20Files\Content.Outlook\A0UGWTSS\&#1050;&#1086;&#1087;&#1080;&#1103;%20&#1043;&#1055;&#1069;%20&#1056;-9_&#1092;&#1072;&#1082;&#1090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gi-09\Downloads\&#1043;&#1055;&#1069;%20&#1056;-9_&#1092;&#1072;&#1082;&#109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У Эстейт юр.лицо"/>
      <sheetName val="Смета расходов Тариф"/>
      <sheetName val="Затраты Р-9"/>
      <sheetName val="ОПУ Р-9"/>
      <sheetName val="затраты прочие"/>
      <sheetName val="ОПУ Прочие"/>
    </sheetNames>
    <sheetDataSet>
      <sheetData sheetId="0"/>
      <sheetData sheetId="1">
        <row r="5">
          <cell r="D5">
            <v>8378.3799999999992</v>
          </cell>
        </row>
        <row r="6">
          <cell r="D6">
            <v>318.66000000000003</v>
          </cell>
        </row>
        <row r="7">
          <cell r="D7">
            <v>4744.51</v>
          </cell>
        </row>
        <row r="8">
          <cell r="D8">
            <v>405.61</v>
          </cell>
        </row>
        <row r="11">
          <cell r="D11">
            <v>2267.31</v>
          </cell>
        </row>
        <row r="12">
          <cell r="D12">
            <v>2563.79</v>
          </cell>
        </row>
        <row r="13">
          <cell r="D13">
            <v>0</v>
          </cell>
        </row>
        <row r="14">
          <cell r="D14">
            <v>781.05</v>
          </cell>
        </row>
        <row r="18">
          <cell r="D18">
            <v>2264.1999999999998</v>
          </cell>
        </row>
        <row r="19">
          <cell r="D19">
            <v>-499.35</v>
          </cell>
        </row>
        <row r="20">
          <cell r="D20">
            <v>287.98500000000001</v>
          </cell>
        </row>
        <row r="22">
          <cell r="D22">
            <v>7749.34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У Эстейт юр.лицо"/>
      <sheetName val="Смета расходов Тариф"/>
      <sheetName val="Затраты Р-9"/>
      <sheetName val="ОПУ Р-9"/>
      <sheetName val="затраты прочие"/>
      <sheetName val="ОПУ Прочие"/>
    </sheetNames>
    <sheetDataSet>
      <sheetData sheetId="0" refreshError="1"/>
      <sheetData sheetId="1">
        <row r="5">
          <cell r="D5">
            <v>8198.25</v>
          </cell>
        </row>
        <row r="6">
          <cell r="D6">
            <v>311.81</v>
          </cell>
        </row>
        <row r="7">
          <cell r="D7">
            <v>4642.51</v>
          </cell>
        </row>
        <row r="8">
          <cell r="D8">
            <v>396.89</v>
          </cell>
        </row>
        <row r="11">
          <cell r="D11">
            <v>3146.66</v>
          </cell>
        </row>
        <row r="12">
          <cell r="D12">
            <v>2492.27</v>
          </cell>
        </row>
        <row r="14">
          <cell r="D14">
            <v>781.05</v>
          </cell>
        </row>
        <row r="18">
          <cell r="D18">
            <v>2068</v>
          </cell>
        </row>
        <row r="19">
          <cell r="D19">
            <v>2267.31</v>
          </cell>
        </row>
        <row r="20">
          <cell r="D20">
            <v>-1441.93</v>
          </cell>
        </row>
        <row r="21">
          <cell r="D21">
            <v>281.3</v>
          </cell>
        </row>
        <row r="23">
          <cell r="D23">
            <v>7832.05</v>
          </cell>
        </row>
      </sheetData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abSelected="1" view="pageBreakPreview" topLeftCell="A59" zoomScale="85" zoomScaleNormal="100" zoomScaleSheetLayoutView="85" workbookViewId="0">
      <selection activeCell="R72" sqref="R72"/>
    </sheetView>
  </sheetViews>
  <sheetFormatPr defaultRowHeight="15" x14ac:dyDescent="0.25"/>
  <cols>
    <col min="1" max="1" width="17.140625" style="1" customWidth="1"/>
    <col min="2" max="2" width="71.140625" style="1" customWidth="1"/>
    <col min="3" max="3" width="24" style="1" customWidth="1"/>
    <col min="4" max="4" width="23" style="6" customWidth="1"/>
    <col min="5" max="5" width="14.28515625" style="6" hidden="1" customWidth="1"/>
    <col min="6" max="6" width="9.7109375" style="1" hidden="1" customWidth="1"/>
    <col min="7" max="7" width="13.85546875" style="1" hidden="1" customWidth="1"/>
    <col min="8" max="8" width="11.7109375" style="1" hidden="1" customWidth="1"/>
    <col min="9" max="9" width="9" style="1" hidden="1" customWidth="1"/>
    <col min="10" max="10" width="11" style="1" hidden="1" customWidth="1"/>
    <col min="11" max="11" width="10" style="1" hidden="1" customWidth="1"/>
    <col min="12" max="13" width="0" style="1" hidden="1" customWidth="1"/>
    <col min="14" max="14" width="9.85546875" style="1" bestFit="1" customWidth="1"/>
    <col min="15" max="15" width="12.7109375" style="1" bestFit="1" customWidth="1"/>
    <col min="16" max="16384" width="9.140625" style="1"/>
  </cols>
  <sheetData>
    <row r="1" spans="1:16" ht="114" customHeight="1" x14ac:dyDescent="0.25">
      <c r="A1" s="226" t="s">
        <v>140</v>
      </c>
      <c r="B1" s="227"/>
      <c r="C1" s="227"/>
      <c r="D1" s="227"/>
      <c r="E1" s="49"/>
      <c r="F1" s="50"/>
      <c r="G1" s="50"/>
    </row>
    <row r="2" spans="1:16" ht="15.75" x14ac:dyDescent="0.25">
      <c r="A2" s="228" t="s">
        <v>17</v>
      </c>
      <c r="B2" s="228"/>
      <c r="C2" s="228"/>
      <c r="D2" s="228"/>
      <c r="E2" s="50"/>
      <c r="F2" s="50"/>
      <c r="G2" s="50"/>
    </row>
    <row r="3" spans="1:16" ht="15.75" x14ac:dyDescent="0.25">
      <c r="A3" s="228" t="s">
        <v>712</v>
      </c>
      <c r="B3" s="228"/>
      <c r="C3" s="228"/>
      <c r="D3" s="228"/>
      <c r="E3" s="50"/>
      <c r="F3" s="50"/>
      <c r="G3" s="50"/>
    </row>
    <row r="4" spans="1:16" ht="15.75" x14ac:dyDescent="0.25">
      <c r="A4" s="229" t="s">
        <v>710</v>
      </c>
      <c r="B4" s="229"/>
      <c r="C4" s="229"/>
      <c r="D4" s="229"/>
      <c r="E4" s="50"/>
      <c r="F4" s="50"/>
      <c r="G4" s="50"/>
    </row>
    <row r="5" spans="1:16" ht="15.75" x14ac:dyDescent="0.25">
      <c r="A5" s="51"/>
      <c r="B5" s="50"/>
      <c r="C5" s="50"/>
      <c r="D5" s="50"/>
      <c r="E5" s="50"/>
      <c r="F5" s="50"/>
      <c r="G5" s="50"/>
    </row>
    <row r="6" spans="1:16" ht="15.75" x14ac:dyDescent="0.25">
      <c r="A6" s="225" t="s">
        <v>18</v>
      </c>
      <c r="B6" s="225"/>
      <c r="C6" s="225"/>
      <c r="D6" s="225"/>
      <c r="E6" s="51"/>
      <c r="F6" s="38"/>
      <c r="G6" s="38"/>
    </row>
    <row r="7" spans="1:16" ht="15.75" x14ac:dyDescent="0.25">
      <c r="A7" s="225" t="s">
        <v>19</v>
      </c>
      <c r="B7" s="225"/>
      <c r="C7" s="225"/>
      <c r="D7" s="225"/>
      <c r="E7" s="51"/>
      <c r="F7" s="38"/>
      <c r="G7" s="38"/>
    </row>
    <row r="8" spans="1:16" ht="15.75" x14ac:dyDescent="0.25">
      <c r="A8" s="228" t="s">
        <v>20</v>
      </c>
      <c r="B8" s="228"/>
      <c r="C8" s="228"/>
      <c r="D8" s="228"/>
      <c r="E8" s="50"/>
      <c r="F8" s="4"/>
      <c r="G8" s="4"/>
    </row>
    <row r="9" spans="1:16" ht="15.75" x14ac:dyDescent="0.25">
      <c r="A9" s="37"/>
      <c r="B9" s="37"/>
      <c r="C9" s="37"/>
      <c r="D9" s="37"/>
      <c r="E9" s="37"/>
      <c r="F9" s="37"/>
      <c r="G9" s="37"/>
      <c r="J9" s="49"/>
    </row>
    <row r="10" spans="1:16" ht="47.25" x14ac:dyDescent="0.25">
      <c r="A10" s="23" t="s">
        <v>21</v>
      </c>
      <c r="B10" s="23" t="s">
        <v>22</v>
      </c>
      <c r="C10" s="23" t="s">
        <v>23</v>
      </c>
      <c r="D10" s="23" t="s">
        <v>75</v>
      </c>
      <c r="E10" s="183" t="s">
        <v>382</v>
      </c>
    </row>
    <row r="11" spans="1:16" ht="15.75" x14ac:dyDescent="0.25">
      <c r="A11" s="23">
        <v>1</v>
      </c>
      <c r="B11" s="23">
        <v>2</v>
      </c>
      <c r="C11" s="23">
        <v>3</v>
      </c>
      <c r="D11" s="23">
        <v>4</v>
      </c>
      <c r="E11" s="23"/>
    </row>
    <row r="12" spans="1:16" ht="15.75" x14ac:dyDescent="0.25">
      <c r="A12" s="17">
        <v>1</v>
      </c>
      <c r="B12" s="18" t="s">
        <v>24</v>
      </c>
      <c r="C12" s="26">
        <f>C14+C16+C18+C33</f>
        <v>13549.46</v>
      </c>
      <c r="D12" s="310">
        <f>D14+D16+D18+D33</f>
        <v>13031.015939999997</v>
      </c>
      <c r="E12" s="26">
        <f>C12-D12</f>
        <v>518.44406000000163</v>
      </c>
      <c r="G12" s="7"/>
    </row>
    <row r="13" spans="1:16" ht="15.75" x14ac:dyDescent="0.25">
      <c r="A13" s="17" t="s">
        <v>25</v>
      </c>
      <c r="B13" s="18" t="s">
        <v>26</v>
      </c>
      <c r="C13" s="42"/>
      <c r="D13" s="311"/>
      <c r="E13" s="26">
        <f t="shared" ref="E13:E76" si="0">C13-D13</f>
        <v>0</v>
      </c>
    </row>
    <row r="14" spans="1:16" ht="16.5" thickBot="1" x14ac:dyDescent="0.3">
      <c r="A14" s="19" t="s">
        <v>27</v>
      </c>
      <c r="B14" s="16" t="s">
        <v>28</v>
      </c>
      <c r="C14" s="27">
        <v>311.81</v>
      </c>
      <c r="D14" s="312">
        <f>'Затраты Р-9'!P22/1000</f>
        <v>233.12356000000003</v>
      </c>
      <c r="E14" s="26">
        <f t="shared" si="0"/>
        <v>78.686439999999976</v>
      </c>
      <c r="F14" s="70">
        <v>302954.26666666672</v>
      </c>
      <c r="G14" s="1">
        <v>311811.22500000003</v>
      </c>
      <c r="H14" s="41">
        <v>301.91581000000008</v>
      </c>
      <c r="O14" s="1">
        <f>Лист2!P25/1000</f>
        <v>301.91581000000008</v>
      </c>
      <c r="P14" s="8">
        <f t="shared" ref="P14:P77" si="1">O14-D14</f>
        <v>68.792250000000053</v>
      </c>
    </row>
    <row r="15" spans="1:16" ht="15.75" x14ac:dyDescent="0.25">
      <c r="A15" s="19"/>
      <c r="B15" s="16" t="s">
        <v>29</v>
      </c>
      <c r="C15" s="27"/>
      <c r="D15" s="313"/>
      <c r="E15" s="26"/>
      <c r="P15" s="8">
        <f t="shared" si="1"/>
        <v>0</v>
      </c>
    </row>
    <row r="16" spans="1:16" ht="15.75" x14ac:dyDescent="0.25">
      <c r="A16" s="19" t="s">
        <v>30</v>
      </c>
      <c r="B16" s="16" t="s">
        <v>31</v>
      </c>
      <c r="C16" s="27">
        <v>4642.51</v>
      </c>
      <c r="D16" s="217">
        <v>2451.79</v>
      </c>
      <c r="E16" s="26">
        <f t="shared" si="0"/>
        <v>2190.7200000000003</v>
      </c>
      <c r="O16" s="1">
        <f>Лист2!P21/1000</f>
        <v>5048.4312800000016</v>
      </c>
      <c r="P16" s="8">
        <f t="shared" si="1"/>
        <v>2596.6412800000016</v>
      </c>
    </row>
    <row r="17" spans="1:16" ht="15.75" x14ac:dyDescent="0.25">
      <c r="A17" s="19"/>
      <c r="B17" s="16" t="s">
        <v>29</v>
      </c>
      <c r="C17" s="27"/>
      <c r="D17" s="314"/>
      <c r="E17" s="26"/>
      <c r="P17" s="8">
        <f t="shared" si="1"/>
        <v>0</v>
      </c>
    </row>
    <row r="18" spans="1:16" ht="15.75" x14ac:dyDescent="0.25">
      <c r="A18" s="19" t="s">
        <v>32</v>
      </c>
      <c r="B18" s="16" t="s">
        <v>33</v>
      </c>
      <c r="C18" s="27">
        <v>8198.25</v>
      </c>
      <c r="D18" s="310">
        <f>'Затраты Р-9'!P4/1000</f>
        <v>9813.0182499999992</v>
      </c>
      <c r="E18" s="26">
        <f t="shared" si="0"/>
        <v>-1614.7682499999992</v>
      </c>
      <c r="G18" s="11"/>
      <c r="I18" s="8"/>
      <c r="J18" s="12"/>
      <c r="O18" s="1">
        <f>Лист2!P4/1000</f>
        <v>8735.3884299999991</v>
      </c>
      <c r="P18" s="8">
        <f t="shared" si="1"/>
        <v>-1077.6298200000001</v>
      </c>
    </row>
    <row r="19" spans="1:16" ht="15.75" x14ac:dyDescent="0.25">
      <c r="A19" s="19"/>
      <c r="B19" s="16" t="s">
        <v>29</v>
      </c>
      <c r="C19" s="27"/>
      <c r="D19" s="315"/>
      <c r="E19" s="26"/>
      <c r="P19" s="8">
        <f t="shared" si="1"/>
        <v>0</v>
      </c>
    </row>
    <row r="20" spans="1:16" ht="15.75" hidden="1" x14ac:dyDescent="0.25">
      <c r="A20" s="230" t="s">
        <v>130</v>
      </c>
      <c r="B20" s="231"/>
      <c r="C20" s="32"/>
      <c r="D20" s="315"/>
      <c r="E20" s="26">
        <f t="shared" si="0"/>
        <v>0</v>
      </c>
      <c r="P20" s="8">
        <f t="shared" si="1"/>
        <v>0</v>
      </c>
    </row>
    <row r="21" spans="1:16" ht="15.75" hidden="1" x14ac:dyDescent="0.25">
      <c r="A21" s="24">
        <v>1</v>
      </c>
      <c r="B21" s="25" t="s">
        <v>131</v>
      </c>
      <c r="C21" s="39"/>
      <c r="D21" s="316"/>
      <c r="E21" s="26">
        <f t="shared" si="0"/>
        <v>0</v>
      </c>
      <c r="P21" s="8">
        <f t="shared" si="1"/>
        <v>0</v>
      </c>
    </row>
    <row r="22" spans="1:16" ht="15.75" hidden="1" x14ac:dyDescent="0.25">
      <c r="A22" s="24">
        <v>2</v>
      </c>
      <c r="B22" s="25" t="s">
        <v>132</v>
      </c>
      <c r="C22" s="39"/>
      <c r="D22" s="316"/>
      <c r="E22" s="26">
        <f t="shared" si="0"/>
        <v>0</v>
      </c>
      <c r="P22" s="8">
        <f t="shared" si="1"/>
        <v>0</v>
      </c>
    </row>
    <row r="23" spans="1:16" ht="15.75" hidden="1" x14ac:dyDescent="0.25">
      <c r="A23" s="24">
        <v>3</v>
      </c>
      <c r="B23" s="25" t="s">
        <v>133</v>
      </c>
      <c r="C23" s="39"/>
      <c r="D23" s="316"/>
      <c r="E23" s="26">
        <f t="shared" si="0"/>
        <v>0</v>
      </c>
      <c r="P23" s="8">
        <f t="shared" si="1"/>
        <v>0</v>
      </c>
    </row>
    <row r="24" spans="1:16" ht="15.75" hidden="1" x14ac:dyDescent="0.25">
      <c r="A24" s="24">
        <v>4</v>
      </c>
      <c r="B24" s="25" t="s">
        <v>134</v>
      </c>
      <c r="C24" s="34"/>
      <c r="D24" s="317"/>
      <c r="E24" s="26">
        <f t="shared" si="0"/>
        <v>0</v>
      </c>
      <c r="P24" s="8">
        <f t="shared" si="1"/>
        <v>0</v>
      </c>
    </row>
    <row r="25" spans="1:16" ht="15.75" hidden="1" x14ac:dyDescent="0.25">
      <c r="A25" s="24">
        <v>5</v>
      </c>
      <c r="B25" s="25" t="s">
        <v>135</v>
      </c>
      <c r="C25" s="34"/>
      <c r="D25" s="317"/>
      <c r="E25" s="26">
        <f t="shared" si="0"/>
        <v>0</v>
      </c>
      <c r="P25" s="8">
        <f t="shared" si="1"/>
        <v>0</v>
      </c>
    </row>
    <row r="26" spans="1:16" ht="15.75" hidden="1" x14ac:dyDescent="0.25">
      <c r="A26" s="24">
        <v>6</v>
      </c>
      <c r="B26" s="25" t="s">
        <v>136</v>
      </c>
      <c r="C26" s="34"/>
      <c r="D26" s="317"/>
      <c r="E26" s="26">
        <f t="shared" si="0"/>
        <v>0</v>
      </c>
      <c r="P26" s="8">
        <f t="shared" si="1"/>
        <v>0</v>
      </c>
    </row>
    <row r="27" spans="1:16" ht="15.75" hidden="1" x14ac:dyDescent="0.25">
      <c r="A27" s="24">
        <v>7</v>
      </c>
      <c r="B27" s="25" t="s">
        <v>0</v>
      </c>
      <c r="C27" s="34"/>
      <c r="D27" s="317"/>
      <c r="E27" s="26">
        <f t="shared" si="0"/>
        <v>0</v>
      </c>
      <c r="P27" s="8">
        <f t="shared" si="1"/>
        <v>0</v>
      </c>
    </row>
    <row r="28" spans="1:16" ht="15.75" hidden="1" x14ac:dyDescent="0.25">
      <c r="A28" s="24">
        <v>8</v>
      </c>
      <c r="B28" s="25" t="s">
        <v>1</v>
      </c>
      <c r="C28" s="34"/>
      <c r="D28" s="317"/>
      <c r="E28" s="26">
        <f t="shared" si="0"/>
        <v>0</v>
      </c>
      <c r="P28" s="8">
        <f t="shared" si="1"/>
        <v>0</v>
      </c>
    </row>
    <row r="29" spans="1:16" ht="15.75" hidden="1" x14ac:dyDescent="0.25">
      <c r="A29" s="24">
        <v>9</v>
      </c>
      <c r="B29" s="25" t="s">
        <v>2</v>
      </c>
      <c r="C29" s="34"/>
      <c r="D29" s="317"/>
      <c r="E29" s="26">
        <f t="shared" si="0"/>
        <v>0</v>
      </c>
      <c r="P29" s="8">
        <f t="shared" si="1"/>
        <v>0</v>
      </c>
    </row>
    <row r="30" spans="1:16" ht="15.75" hidden="1" x14ac:dyDescent="0.25">
      <c r="A30" s="24">
        <v>10</v>
      </c>
      <c r="B30" s="25" t="s">
        <v>137</v>
      </c>
      <c r="C30" s="34"/>
      <c r="D30" s="317"/>
      <c r="E30" s="26">
        <f t="shared" si="0"/>
        <v>0</v>
      </c>
      <c r="P30" s="8">
        <f t="shared" si="1"/>
        <v>0</v>
      </c>
    </row>
    <row r="31" spans="1:16" ht="15.75" hidden="1" x14ac:dyDescent="0.25">
      <c r="A31" s="24">
        <v>11</v>
      </c>
      <c r="B31" s="25" t="s">
        <v>138</v>
      </c>
      <c r="C31" s="34"/>
      <c r="D31" s="317"/>
      <c r="E31" s="26">
        <f t="shared" si="0"/>
        <v>0</v>
      </c>
      <c r="P31" s="8">
        <f t="shared" si="1"/>
        <v>0</v>
      </c>
    </row>
    <row r="32" spans="1:16" ht="15.75" hidden="1" x14ac:dyDescent="0.25">
      <c r="A32" s="24">
        <v>12</v>
      </c>
      <c r="B32" s="25" t="s">
        <v>139</v>
      </c>
      <c r="C32" s="32"/>
      <c r="D32" s="317"/>
      <c r="E32" s="26">
        <f t="shared" si="0"/>
        <v>0</v>
      </c>
      <c r="P32" s="8">
        <f t="shared" si="1"/>
        <v>0</v>
      </c>
    </row>
    <row r="33" spans="1:16" ht="15.75" x14ac:dyDescent="0.25">
      <c r="A33" s="19" t="s">
        <v>34</v>
      </c>
      <c r="B33" s="16" t="s">
        <v>35</v>
      </c>
      <c r="C33" s="27">
        <v>396.89</v>
      </c>
      <c r="D33" s="217">
        <f>SUM(D34:D60)</f>
        <v>533.08413000000007</v>
      </c>
      <c r="E33" s="26">
        <f t="shared" si="0"/>
        <v>-136.19413000000009</v>
      </c>
      <c r="P33" s="8"/>
    </row>
    <row r="34" spans="1:16" ht="31.5" x14ac:dyDescent="0.25">
      <c r="A34" s="21" t="s">
        <v>76</v>
      </c>
      <c r="B34" s="16" t="s">
        <v>36</v>
      </c>
      <c r="C34" s="27"/>
      <c r="D34" s="314"/>
      <c r="E34" s="26"/>
      <c r="P34" s="8">
        <f t="shared" si="1"/>
        <v>0</v>
      </c>
    </row>
    <row r="35" spans="1:16" ht="15.75" x14ac:dyDescent="0.25">
      <c r="A35" s="21" t="s">
        <v>77</v>
      </c>
      <c r="B35" s="20" t="s">
        <v>37</v>
      </c>
      <c r="C35" s="27"/>
      <c r="D35" s="217">
        <f>'Затраты Р-9'!P12/1000</f>
        <v>58.679960000000001</v>
      </c>
      <c r="E35" s="26"/>
      <c r="O35" s="1">
        <f>Лист2!P12/1000</f>
        <v>51.823869999999992</v>
      </c>
      <c r="P35" s="8">
        <f t="shared" si="1"/>
        <v>-6.8560900000000089</v>
      </c>
    </row>
    <row r="36" spans="1:16" ht="15.75" x14ac:dyDescent="0.25">
      <c r="A36" s="21" t="s">
        <v>78</v>
      </c>
      <c r="B36" s="20" t="s">
        <v>3</v>
      </c>
      <c r="C36" s="27"/>
      <c r="D36" s="217"/>
      <c r="E36" s="26"/>
      <c r="P36" s="8">
        <f t="shared" si="1"/>
        <v>0</v>
      </c>
    </row>
    <row r="37" spans="1:16" ht="15.75" x14ac:dyDescent="0.25">
      <c r="A37" s="21" t="s">
        <v>79</v>
      </c>
      <c r="B37" s="20" t="s">
        <v>4</v>
      </c>
      <c r="C37" s="27"/>
      <c r="D37" s="217">
        <f>'Затраты Р-9'!P13/1000</f>
        <v>70.650399999999991</v>
      </c>
      <c r="E37" s="26"/>
      <c r="O37" s="1">
        <f>(Лист2!P15+Лист2!P16)/1000</f>
        <v>319.90123</v>
      </c>
      <c r="P37" s="8">
        <f t="shared" si="1"/>
        <v>249.25083000000001</v>
      </c>
    </row>
    <row r="38" spans="1:16" ht="15.75" x14ac:dyDescent="0.25">
      <c r="A38" s="21" t="s">
        <v>80</v>
      </c>
      <c r="B38" s="20" t="s">
        <v>5</v>
      </c>
      <c r="C38" s="27"/>
      <c r="D38" s="217"/>
      <c r="E38" s="26"/>
      <c r="P38" s="8">
        <f t="shared" si="1"/>
        <v>0</v>
      </c>
    </row>
    <row r="39" spans="1:16" ht="15.75" x14ac:dyDescent="0.25">
      <c r="A39" s="21" t="s">
        <v>81</v>
      </c>
      <c r="B39" s="20" t="s">
        <v>38</v>
      </c>
      <c r="C39" s="27"/>
      <c r="D39" s="217"/>
      <c r="E39" s="26"/>
      <c r="P39" s="8">
        <f t="shared" si="1"/>
        <v>0</v>
      </c>
    </row>
    <row r="40" spans="1:16" ht="15.75" x14ac:dyDescent="0.25">
      <c r="A40" s="21" t="s">
        <v>82</v>
      </c>
      <c r="B40" s="16" t="s">
        <v>7</v>
      </c>
      <c r="C40" s="27"/>
      <c r="D40" s="217"/>
      <c r="E40" s="26"/>
      <c r="P40" s="8">
        <f t="shared" si="1"/>
        <v>0</v>
      </c>
    </row>
    <row r="41" spans="1:16" ht="15.75" x14ac:dyDescent="0.25">
      <c r="A41" s="21" t="s">
        <v>83</v>
      </c>
      <c r="B41" s="16" t="s">
        <v>8</v>
      </c>
      <c r="C41" s="27"/>
      <c r="D41" s="217">
        <f>'Затраты Р-9'!P9/1000</f>
        <v>78.55</v>
      </c>
      <c r="E41" s="26"/>
      <c r="P41" s="8">
        <f t="shared" si="1"/>
        <v>-78.55</v>
      </c>
    </row>
    <row r="42" spans="1:16" ht="31.5" x14ac:dyDescent="0.25">
      <c r="A42" s="21" t="s">
        <v>84</v>
      </c>
      <c r="B42" s="16" t="s">
        <v>9</v>
      </c>
      <c r="C42" s="27"/>
      <c r="D42" s="217">
        <f>'Затраты Р-9'!P11/1000</f>
        <v>219.18556000000007</v>
      </c>
      <c r="E42" s="26"/>
      <c r="O42" s="1">
        <f>Лист2!P9/1000+Лист2!P11/1000</f>
        <v>249.81180999999998</v>
      </c>
      <c r="P42" s="8">
        <f t="shared" si="1"/>
        <v>30.626249999999914</v>
      </c>
    </row>
    <row r="43" spans="1:16" ht="15.75" x14ac:dyDescent="0.25">
      <c r="A43" s="21" t="s">
        <v>85</v>
      </c>
      <c r="B43" s="16" t="s">
        <v>39</v>
      </c>
      <c r="C43" s="27"/>
      <c r="D43" s="217"/>
      <c r="E43" s="26"/>
      <c r="P43" s="8">
        <f t="shared" si="1"/>
        <v>0</v>
      </c>
    </row>
    <row r="44" spans="1:16" ht="15.75" x14ac:dyDescent="0.25">
      <c r="A44" s="21" t="s">
        <v>86</v>
      </c>
      <c r="B44" s="16" t="s">
        <v>40</v>
      </c>
      <c r="C44" s="27"/>
      <c r="D44" s="314"/>
      <c r="E44" s="26"/>
      <c r="P44" s="8">
        <f t="shared" si="1"/>
        <v>0</v>
      </c>
    </row>
    <row r="45" spans="1:16" ht="15.75" x14ac:dyDescent="0.25">
      <c r="A45" s="21" t="s">
        <v>87</v>
      </c>
      <c r="B45" s="20" t="s">
        <v>41</v>
      </c>
      <c r="C45" s="27"/>
      <c r="D45" s="314"/>
      <c r="E45" s="26"/>
      <c r="P45" s="8">
        <f t="shared" si="1"/>
        <v>0</v>
      </c>
    </row>
    <row r="46" spans="1:16" ht="15.75" x14ac:dyDescent="0.25">
      <c r="A46" s="21" t="s">
        <v>88</v>
      </c>
      <c r="B46" s="16" t="s">
        <v>42</v>
      </c>
      <c r="C46" s="27"/>
      <c r="D46" s="314"/>
      <c r="E46" s="26"/>
      <c r="P46" s="8">
        <f t="shared" si="1"/>
        <v>0</v>
      </c>
    </row>
    <row r="47" spans="1:16" ht="15.75" x14ac:dyDescent="0.25">
      <c r="A47" s="21" t="s">
        <v>89</v>
      </c>
      <c r="B47" s="16" t="s">
        <v>43</v>
      </c>
      <c r="C47" s="27"/>
      <c r="D47" s="314"/>
      <c r="E47" s="26"/>
      <c r="P47" s="8">
        <f t="shared" si="1"/>
        <v>0</v>
      </c>
    </row>
    <row r="48" spans="1:16" ht="15.75" x14ac:dyDescent="0.25">
      <c r="A48" s="21" t="s">
        <v>90</v>
      </c>
      <c r="B48" s="20" t="s">
        <v>44</v>
      </c>
      <c r="C48" s="27"/>
      <c r="D48" s="314"/>
      <c r="E48" s="26"/>
      <c r="P48" s="8">
        <f t="shared" si="1"/>
        <v>0</v>
      </c>
    </row>
    <row r="49" spans="1:16" ht="15.75" x14ac:dyDescent="0.25">
      <c r="A49" s="21" t="s">
        <v>91</v>
      </c>
      <c r="B49" s="20" t="s">
        <v>45</v>
      </c>
      <c r="C49" s="27"/>
      <c r="D49" s="314"/>
      <c r="E49" s="26"/>
      <c r="P49" s="8">
        <f t="shared" si="1"/>
        <v>0</v>
      </c>
    </row>
    <row r="50" spans="1:16" ht="15.75" x14ac:dyDescent="0.25">
      <c r="A50" s="21" t="s">
        <v>91</v>
      </c>
      <c r="B50" s="20" t="s">
        <v>46</v>
      </c>
      <c r="C50" s="27"/>
      <c r="D50" s="314"/>
      <c r="E50" s="26"/>
      <c r="P50" s="8">
        <f t="shared" si="1"/>
        <v>0</v>
      </c>
    </row>
    <row r="51" spans="1:16" ht="15.75" x14ac:dyDescent="0.25">
      <c r="A51" s="21" t="s">
        <v>92</v>
      </c>
      <c r="B51" s="20" t="s">
        <v>657</v>
      </c>
      <c r="C51" s="27"/>
      <c r="D51" s="217"/>
      <c r="E51" s="26"/>
      <c r="O51" s="1">
        <f>Лист2!P14/1000</f>
        <v>18</v>
      </c>
      <c r="P51" s="8">
        <f t="shared" si="1"/>
        <v>18</v>
      </c>
    </row>
    <row r="52" spans="1:16" ht="15.75" x14ac:dyDescent="0.25">
      <c r="A52" s="21" t="s">
        <v>93</v>
      </c>
      <c r="B52" s="16" t="s">
        <v>48</v>
      </c>
      <c r="C52" s="27"/>
      <c r="D52" s="313"/>
      <c r="E52" s="26"/>
      <c r="P52" s="8">
        <f t="shared" si="1"/>
        <v>0</v>
      </c>
    </row>
    <row r="53" spans="1:16" ht="15.75" x14ac:dyDescent="0.25">
      <c r="A53" s="21" t="s">
        <v>94</v>
      </c>
      <c r="B53" s="16" t="s">
        <v>10</v>
      </c>
      <c r="C53" s="27"/>
      <c r="D53" s="314"/>
      <c r="E53" s="26"/>
      <c r="P53" s="8">
        <f t="shared" si="1"/>
        <v>0</v>
      </c>
    </row>
    <row r="54" spans="1:16" ht="15.75" x14ac:dyDescent="0.25">
      <c r="A54" s="21" t="s">
        <v>95</v>
      </c>
      <c r="B54" s="16" t="s">
        <v>6</v>
      </c>
      <c r="C54" s="27"/>
      <c r="D54" s="217"/>
      <c r="E54" s="26"/>
      <c r="P54" s="8">
        <f t="shared" si="1"/>
        <v>0</v>
      </c>
    </row>
    <row r="55" spans="1:16" ht="15.75" x14ac:dyDescent="0.25">
      <c r="A55" s="21" t="s">
        <v>96</v>
      </c>
      <c r="B55" s="16" t="s">
        <v>11</v>
      </c>
      <c r="C55" s="27"/>
      <c r="D55" s="314"/>
      <c r="E55" s="26"/>
      <c r="P55" s="8">
        <f t="shared" si="1"/>
        <v>0</v>
      </c>
    </row>
    <row r="56" spans="1:16" ht="15.75" x14ac:dyDescent="0.25">
      <c r="A56" s="21" t="s">
        <v>97</v>
      </c>
      <c r="B56" s="16" t="s">
        <v>49</v>
      </c>
      <c r="C56" s="27"/>
      <c r="D56" s="314"/>
      <c r="E56" s="26"/>
      <c r="P56" s="8">
        <f t="shared" si="1"/>
        <v>0</v>
      </c>
    </row>
    <row r="57" spans="1:16" ht="15.75" x14ac:dyDescent="0.25">
      <c r="A57" s="21" t="s">
        <v>98</v>
      </c>
      <c r="B57" s="16" t="s">
        <v>12</v>
      </c>
      <c r="C57" s="27"/>
      <c r="D57" s="217"/>
      <c r="E57" s="26"/>
      <c r="O57" s="1">
        <f>Лист2!P13/1000</f>
        <v>3.8324699999999994</v>
      </c>
      <c r="P57" s="8">
        <f t="shared" si="1"/>
        <v>3.8324699999999994</v>
      </c>
    </row>
    <row r="58" spans="1:16" ht="15.75" x14ac:dyDescent="0.25">
      <c r="A58" s="21" t="s">
        <v>664</v>
      </c>
      <c r="B58" s="16" t="str">
        <f>'60'!N25</f>
        <v>Охрана, пожарная безопасность</v>
      </c>
      <c r="C58" s="27"/>
      <c r="D58" s="314"/>
      <c r="E58" s="26"/>
      <c r="P58" s="8">
        <f t="shared" si="1"/>
        <v>0</v>
      </c>
    </row>
    <row r="59" spans="1:16" ht="15.75" x14ac:dyDescent="0.25">
      <c r="A59" s="21" t="s">
        <v>665</v>
      </c>
      <c r="B59" s="16" t="str">
        <f>'60'!N26</f>
        <v>Программное обеспечение</v>
      </c>
      <c r="C59" s="27"/>
      <c r="D59" s="217">
        <f>'Затраты Р-9'!P8/1000</f>
        <v>106.01821000000001</v>
      </c>
      <c r="E59" s="26"/>
      <c r="O59" s="1">
        <f>Лист2!P8/1000</f>
        <v>108.76068999999998</v>
      </c>
      <c r="P59" s="8">
        <f t="shared" si="1"/>
        <v>2.7424799999999721</v>
      </c>
    </row>
    <row r="60" spans="1:16" ht="15.75" x14ac:dyDescent="0.25">
      <c r="A60" s="21" t="s">
        <v>666</v>
      </c>
      <c r="B60" s="16" t="str">
        <f>'60'!N60</f>
        <v>регистратор ООО</v>
      </c>
      <c r="C60" s="27"/>
      <c r="D60" s="314"/>
      <c r="E60" s="26"/>
      <c r="P60" s="8">
        <f t="shared" si="1"/>
        <v>0</v>
      </c>
    </row>
    <row r="61" spans="1:16" ht="15.75" x14ac:dyDescent="0.25">
      <c r="A61" s="22" t="s">
        <v>99</v>
      </c>
      <c r="B61" s="18" t="s">
        <v>50</v>
      </c>
      <c r="C61" s="26">
        <f>C63+C70+C76+C78+C79</f>
        <v>7608.6299999999992</v>
      </c>
      <c r="D61" s="310">
        <f>D63+D70+D76+D78+D79</f>
        <v>8029.5696900000003</v>
      </c>
      <c r="E61" s="26">
        <f t="shared" si="0"/>
        <v>-420.93969000000106</v>
      </c>
      <c r="G61" s="10"/>
      <c r="P61" s="8"/>
    </row>
    <row r="62" spans="1:16" ht="15.75" x14ac:dyDescent="0.25">
      <c r="A62" s="21" t="s">
        <v>100</v>
      </c>
      <c r="B62" s="16" t="s">
        <v>13</v>
      </c>
      <c r="C62" s="27"/>
      <c r="D62" s="314"/>
      <c r="E62" s="26"/>
      <c r="P62" s="8">
        <f t="shared" si="1"/>
        <v>0</v>
      </c>
    </row>
    <row r="63" spans="1:16" ht="15.75" x14ac:dyDescent="0.25">
      <c r="A63" s="21" t="s">
        <v>101</v>
      </c>
      <c r="B63" s="16" t="s">
        <v>51</v>
      </c>
      <c r="C63" s="27">
        <v>781.05</v>
      </c>
      <c r="D63" s="310">
        <f>'Затраты Р-9'!P23/1000</f>
        <v>812.42600000000004</v>
      </c>
      <c r="E63" s="26">
        <f t="shared" si="0"/>
        <v>-31.37600000000009</v>
      </c>
      <c r="O63" s="1">
        <f>Лист2!P26/1000</f>
        <v>829.56899999999996</v>
      </c>
      <c r="P63" s="8">
        <f t="shared" si="1"/>
        <v>17.142999999999915</v>
      </c>
    </row>
    <row r="64" spans="1:16" ht="15.75" x14ac:dyDescent="0.25">
      <c r="A64" s="21" t="s">
        <v>102</v>
      </c>
      <c r="B64" s="16" t="s">
        <v>52</v>
      </c>
      <c r="C64" s="27"/>
      <c r="D64" s="217"/>
      <c r="E64" s="26"/>
      <c r="P64" s="8">
        <f t="shared" si="1"/>
        <v>0</v>
      </c>
    </row>
    <row r="65" spans="1:16" ht="15.75" x14ac:dyDescent="0.25">
      <c r="A65" s="21" t="s">
        <v>103</v>
      </c>
      <c r="B65" s="16" t="s">
        <v>14</v>
      </c>
      <c r="C65" s="27"/>
      <c r="D65" s="217">
        <f>D63-D67</f>
        <v>621.38100000000009</v>
      </c>
      <c r="E65" s="26"/>
      <c r="P65" s="8"/>
    </row>
    <row r="66" spans="1:16" ht="15.75" x14ac:dyDescent="0.25">
      <c r="A66" s="21" t="s">
        <v>104</v>
      </c>
      <c r="B66" s="16" t="s">
        <v>53</v>
      </c>
      <c r="C66" s="27"/>
      <c r="D66" s="217"/>
      <c r="E66" s="26"/>
      <c r="P66" s="8">
        <f t="shared" si="1"/>
        <v>0</v>
      </c>
    </row>
    <row r="67" spans="1:16" ht="15.75" x14ac:dyDescent="0.25">
      <c r="A67" s="21" t="s">
        <v>145</v>
      </c>
      <c r="B67" s="20" t="s">
        <v>15</v>
      </c>
      <c r="C67" s="27"/>
      <c r="D67" s="217">
        <v>191.04499999999999</v>
      </c>
      <c r="E67" s="26"/>
      <c r="P67" s="8">
        <f t="shared" si="1"/>
        <v>-191.04499999999999</v>
      </c>
    </row>
    <row r="68" spans="1:16" ht="15.75" x14ac:dyDescent="0.25">
      <c r="A68" s="21"/>
      <c r="C68" s="27"/>
      <c r="D68" s="217"/>
      <c r="E68" s="26"/>
      <c r="P68" s="8">
        <f t="shared" si="1"/>
        <v>0</v>
      </c>
    </row>
    <row r="69" spans="1:16" ht="15.75" x14ac:dyDescent="0.25">
      <c r="A69" s="21" t="s">
        <v>146</v>
      </c>
      <c r="B69" s="20" t="s">
        <v>54</v>
      </c>
      <c r="C69" s="27"/>
      <c r="D69" s="217"/>
      <c r="E69" s="26"/>
      <c r="P69" s="8">
        <f t="shared" si="1"/>
        <v>0</v>
      </c>
    </row>
    <row r="70" spans="1:16" ht="15.75" x14ac:dyDescent="0.25">
      <c r="A70" s="21" t="s">
        <v>105</v>
      </c>
      <c r="B70" s="16" t="s">
        <v>55</v>
      </c>
      <c r="C70" s="27">
        <v>2267.31</v>
      </c>
      <c r="D70" s="217">
        <f>('Затраты Р-9'!P14+'Затраты Р-9'!P15+'Затраты Р-9'!P16)/1000</f>
        <v>4272.2588399999995</v>
      </c>
      <c r="E70" s="26"/>
      <c r="O70" s="8">
        <f>(Лист2!P17+Лист2!P18+Лист2!P19)/1000</f>
        <v>3487.9324899999997</v>
      </c>
      <c r="P70" s="8">
        <f t="shared" si="1"/>
        <v>-784.32634999999982</v>
      </c>
    </row>
    <row r="71" spans="1:16" ht="31.5" x14ac:dyDescent="0.25">
      <c r="A71" s="21" t="s">
        <v>106</v>
      </c>
      <c r="B71" s="16" t="s">
        <v>56</v>
      </c>
      <c r="C71" s="27"/>
      <c r="D71" s="217"/>
      <c r="E71" s="26"/>
      <c r="P71" s="8">
        <f t="shared" si="1"/>
        <v>0</v>
      </c>
    </row>
    <row r="72" spans="1:16" ht="31.5" x14ac:dyDescent="0.25">
      <c r="A72" s="21" t="s">
        <v>107</v>
      </c>
      <c r="B72" s="16" t="s">
        <v>57</v>
      </c>
      <c r="C72" s="27"/>
      <c r="D72" s="217"/>
      <c r="E72" s="26"/>
      <c r="P72" s="8">
        <f t="shared" si="1"/>
        <v>0</v>
      </c>
    </row>
    <row r="73" spans="1:16" ht="15.75" x14ac:dyDescent="0.25">
      <c r="A73" s="21" t="s">
        <v>108</v>
      </c>
      <c r="B73" s="16" t="s">
        <v>58</v>
      </c>
      <c r="C73" s="27"/>
      <c r="D73" s="314"/>
      <c r="E73" s="26"/>
      <c r="P73" s="8">
        <f t="shared" si="1"/>
        <v>0</v>
      </c>
    </row>
    <row r="74" spans="1:16" ht="15.75" x14ac:dyDescent="0.25">
      <c r="A74" s="21" t="s">
        <v>109</v>
      </c>
      <c r="B74" s="16" t="s">
        <v>59</v>
      </c>
      <c r="C74" s="27"/>
      <c r="D74" s="314"/>
      <c r="E74" s="26"/>
      <c r="P74" s="8">
        <f t="shared" si="1"/>
        <v>0</v>
      </c>
    </row>
    <row r="75" spans="1:16" ht="15.75" x14ac:dyDescent="0.25">
      <c r="A75" s="21" t="s">
        <v>110</v>
      </c>
      <c r="B75" s="16" t="s">
        <v>60</v>
      </c>
      <c r="C75" s="27"/>
      <c r="D75" s="318"/>
      <c r="E75" s="26">
        <f t="shared" si="0"/>
        <v>0</v>
      </c>
      <c r="P75" s="8">
        <f t="shared" si="1"/>
        <v>0</v>
      </c>
    </row>
    <row r="76" spans="1:16" ht="15.75" x14ac:dyDescent="0.25">
      <c r="A76" s="21" t="s">
        <v>111</v>
      </c>
      <c r="B76" s="16" t="s">
        <v>61</v>
      </c>
      <c r="C76" s="27">
        <v>2492.27</v>
      </c>
      <c r="D76" s="217">
        <f>'Затраты Р-9'!P5/1000</f>
        <v>1969.5136100000002</v>
      </c>
      <c r="E76" s="26">
        <f t="shared" si="0"/>
        <v>522.75638999999978</v>
      </c>
      <c r="G76" s="13"/>
      <c r="I76" s="12"/>
      <c r="O76" s="1">
        <f>Лист2!P5/1000</f>
        <v>1953.15363</v>
      </c>
      <c r="P76" s="8">
        <f t="shared" si="1"/>
        <v>-16.359980000000178</v>
      </c>
    </row>
    <row r="77" spans="1:16" ht="15.75" x14ac:dyDescent="0.25">
      <c r="A77" s="21"/>
      <c r="B77" s="16" t="s">
        <v>29</v>
      </c>
      <c r="C77" s="27"/>
      <c r="D77" s="314"/>
      <c r="E77" s="26"/>
      <c r="G77" s="9"/>
      <c r="H77" s="9"/>
      <c r="P77" s="8">
        <f t="shared" si="1"/>
        <v>0</v>
      </c>
    </row>
    <row r="78" spans="1:16" ht="15.75" x14ac:dyDescent="0.25">
      <c r="A78" s="21" t="s">
        <v>112</v>
      </c>
      <c r="B78" s="16" t="s">
        <v>62</v>
      </c>
      <c r="C78" s="27"/>
      <c r="D78" s="217"/>
      <c r="E78" s="26">
        <f t="shared" ref="E78:E101" si="2">C78-D78</f>
        <v>0</v>
      </c>
      <c r="P78" s="8">
        <f t="shared" ref="P78:P99" si="3">O78-D78</f>
        <v>0</v>
      </c>
    </row>
    <row r="79" spans="1:16" ht="15.75" x14ac:dyDescent="0.25">
      <c r="A79" s="21" t="s">
        <v>144</v>
      </c>
      <c r="B79" s="16" t="s">
        <v>147</v>
      </c>
      <c r="C79" s="27">
        <v>2068</v>
      </c>
      <c r="D79" s="217">
        <f>0.97537124*1000</f>
        <v>975.37123999999994</v>
      </c>
      <c r="E79" s="26"/>
      <c r="O79" s="1">
        <f>Лист2!P20/1000</f>
        <v>1125.825</v>
      </c>
      <c r="P79" s="8">
        <f t="shared" si="3"/>
        <v>150.4537600000001</v>
      </c>
    </row>
    <row r="80" spans="1:16" ht="31.5" x14ac:dyDescent="0.25">
      <c r="A80" s="21" t="s">
        <v>113</v>
      </c>
      <c r="B80" s="16" t="s">
        <v>119</v>
      </c>
      <c r="C80" s="27">
        <v>-1441.93</v>
      </c>
      <c r="D80" s="27"/>
      <c r="E80" s="26">
        <f t="shared" si="2"/>
        <v>-1441.93</v>
      </c>
      <c r="P80" s="8">
        <f t="shared" si="3"/>
        <v>0</v>
      </c>
    </row>
    <row r="81" spans="1:16" ht="78.75" hidden="1" x14ac:dyDescent="0.25">
      <c r="A81" s="21" t="s">
        <v>120</v>
      </c>
      <c r="B81" s="16" t="s">
        <v>121</v>
      </c>
      <c r="C81" s="27"/>
      <c r="D81" s="36"/>
      <c r="E81" s="26">
        <f t="shared" si="2"/>
        <v>0</v>
      </c>
      <c r="P81" s="8">
        <f t="shared" si="3"/>
        <v>0</v>
      </c>
    </row>
    <row r="82" spans="1:16" ht="31.5" hidden="1" x14ac:dyDescent="0.25">
      <c r="A82" s="21" t="s">
        <v>122</v>
      </c>
      <c r="B82" s="16" t="s">
        <v>123</v>
      </c>
      <c r="C82" s="27"/>
      <c r="D82" s="36"/>
      <c r="E82" s="26">
        <f t="shared" si="2"/>
        <v>0</v>
      </c>
      <c r="P82" s="8">
        <f t="shared" si="3"/>
        <v>0</v>
      </c>
    </row>
    <row r="83" spans="1:16" ht="31.5" hidden="1" x14ac:dyDescent="0.25">
      <c r="A83" s="21" t="s">
        <v>125</v>
      </c>
      <c r="B83" s="16" t="s">
        <v>126</v>
      </c>
      <c r="C83" s="27"/>
      <c r="D83" s="36"/>
      <c r="E83" s="26">
        <f t="shared" si="2"/>
        <v>0</v>
      </c>
      <c r="P83" s="8">
        <f t="shared" si="3"/>
        <v>0</v>
      </c>
    </row>
    <row r="84" spans="1:16" ht="31.5" x14ac:dyDescent="0.25">
      <c r="A84" s="21" t="s">
        <v>124</v>
      </c>
      <c r="B84" s="16" t="s">
        <v>127</v>
      </c>
      <c r="C84" s="27">
        <v>281.3</v>
      </c>
      <c r="D84" s="36"/>
      <c r="E84" s="26">
        <f t="shared" si="2"/>
        <v>281.3</v>
      </c>
      <c r="G84" s="7"/>
      <c r="P84" s="8">
        <f t="shared" si="3"/>
        <v>0</v>
      </c>
    </row>
    <row r="85" spans="1:16" ht="15.75" x14ac:dyDescent="0.25">
      <c r="A85" s="21" t="s">
        <v>114</v>
      </c>
      <c r="B85" s="16" t="s">
        <v>128</v>
      </c>
      <c r="C85" s="26">
        <f>C12+C61+C84+C80-0.01</f>
        <v>19997.449999999997</v>
      </c>
      <c r="D85" s="26">
        <f>D12+D61+D84+D80</f>
        <v>21060.585629999998</v>
      </c>
      <c r="E85" s="26">
        <f t="shared" si="2"/>
        <v>-1063.1356300000007</v>
      </c>
      <c r="G85" s="7"/>
      <c r="I85" s="8">
        <f>C61</f>
        <v>7608.6299999999992</v>
      </c>
      <c r="J85" s="7"/>
      <c r="K85" s="7"/>
      <c r="P85" s="8">
        <f t="shared" si="3"/>
        <v>-21060.585629999998</v>
      </c>
    </row>
    <row r="86" spans="1:16" ht="31.5" x14ac:dyDescent="0.25">
      <c r="A86" s="21" t="s">
        <v>115</v>
      </c>
      <c r="B86" s="16" t="s">
        <v>64</v>
      </c>
      <c r="C86" s="27">
        <v>7832.05</v>
      </c>
      <c r="D86" s="27">
        <f>'Затраты Р-9'!P19/1000</f>
        <v>8341.8648899999989</v>
      </c>
      <c r="E86" s="26">
        <f t="shared" si="2"/>
        <v>-509.81488999999874</v>
      </c>
      <c r="G86" s="7"/>
      <c r="I86" s="1">
        <v>10024.69</v>
      </c>
      <c r="J86" s="7"/>
      <c r="K86" s="7"/>
      <c r="O86" s="1">
        <f>Лист2!P22/1000</f>
        <v>7961.4521699999996</v>
      </c>
      <c r="P86" s="8">
        <f t="shared" si="3"/>
        <v>-380.41271999999935</v>
      </c>
    </row>
    <row r="87" spans="1:16" ht="15.75" hidden="1" x14ac:dyDescent="0.25">
      <c r="A87" s="230" t="s">
        <v>142</v>
      </c>
      <c r="B87" s="231"/>
      <c r="C87" s="27"/>
      <c r="D87" s="36"/>
      <c r="E87" s="26">
        <f t="shared" si="2"/>
        <v>0</v>
      </c>
      <c r="G87" s="7"/>
      <c r="J87" s="7"/>
      <c r="K87" s="7"/>
      <c r="P87" s="8">
        <f t="shared" si="3"/>
        <v>0</v>
      </c>
    </row>
    <row r="88" spans="1:16" ht="15.75" hidden="1" x14ac:dyDescent="0.25">
      <c r="A88" s="24">
        <v>1</v>
      </c>
      <c r="B88" s="25" t="s">
        <v>131</v>
      </c>
      <c r="C88" s="27"/>
      <c r="D88" s="27"/>
      <c r="E88" s="26">
        <f t="shared" si="2"/>
        <v>0</v>
      </c>
      <c r="G88" s="7"/>
      <c r="J88" s="7"/>
      <c r="K88" s="7"/>
      <c r="P88" s="8">
        <f t="shared" si="3"/>
        <v>0</v>
      </c>
    </row>
    <row r="89" spans="1:16" ht="15.75" hidden="1" x14ac:dyDescent="0.25">
      <c r="A89" s="24">
        <v>2</v>
      </c>
      <c r="B89" s="25" t="s">
        <v>141</v>
      </c>
      <c r="C89" s="27"/>
      <c r="D89" s="27"/>
      <c r="E89" s="26">
        <f t="shared" si="2"/>
        <v>0</v>
      </c>
      <c r="G89" s="7"/>
      <c r="J89" s="7"/>
      <c r="K89" s="7"/>
      <c r="P89" s="8">
        <f t="shared" si="3"/>
        <v>0</v>
      </c>
    </row>
    <row r="90" spans="1:16" ht="15.75" hidden="1" x14ac:dyDescent="0.25">
      <c r="A90" s="24">
        <v>3</v>
      </c>
      <c r="B90" s="25" t="s">
        <v>143</v>
      </c>
      <c r="C90" s="27"/>
      <c r="D90" s="27"/>
      <c r="E90" s="26">
        <f t="shared" si="2"/>
        <v>0</v>
      </c>
      <c r="G90" s="7"/>
      <c r="J90" s="7"/>
      <c r="K90" s="7"/>
      <c r="P90" s="8">
        <f t="shared" si="3"/>
        <v>0</v>
      </c>
    </row>
    <row r="91" spans="1:16" ht="15.75" hidden="1" x14ac:dyDescent="0.25">
      <c r="A91" s="24">
        <v>4</v>
      </c>
      <c r="B91" s="25" t="s">
        <v>134</v>
      </c>
      <c r="C91" s="27"/>
      <c r="D91" s="36"/>
      <c r="E91" s="26">
        <f t="shared" si="2"/>
        <v>0</v>
      </c>
      <c r="G91" s="7"/>
      <c r="J91" s="7"/>
      <c r="K91" s="7"/>
      <c r="P91" s="8">
        <f t="shared" si="3"/>
        <v>0</v>
      </c>
    </row>
    <row r="92" spans="1:16" ht="15.75" hidden="1" x14ac:dyDescent="0.25">
      <c r="A92" s="24">
        <v>5</v>
      </c>
      <c r="B92" s="25" t="s">
        <v>135</v>
      </c>
      <c r="C92" s="27"/>
      <c r="D92" s="36"/>
      <c r="E92" s="26">
        <f t="shared" si="2"/>
        <v>0</v>
      </c>
      <c r="G92" s="7"/>
      <c r="J92" s="7"/>
      <c r="K92" s="7"/>
      <c r="P92" s="8">
        <f t="shared" si="3"/>
        <v>0</v>
      </c>
    </row>
    <row r="93" spans="1:16" ht="15.75" hidden="1" x14ac:dyDescent="0.25">
      <c r="A93" s="24">
        <v>6</v>
      </c>
      <c r="B93" s="25" t="s">
        <v>136</v>
      </c>
      <c r="C93" s="27"/>
      <c r="D93" s="36"/>
      <c r="E93" s="26">
        <f t="shared" si="2"/>
        <v>0</v>
      </c>
      <c r="G93" s="7"/>
      <c r="J93" s="7"/>
      <c r="K93" s="7"/>
      <c r="P93" s="8">
        <f t="shared" si="3"/>
        <v>0</v>
      </c>
    </row>
    <row r="94" spans="1:16" ht="15.75" hidden="1" x14ac:dyDescent="0.25">
      <c r="A94" s="24">
        <v>7</v>
      </c>
      <c r="B94" s="25" t="s">
        <v>0</v>
      </c>
      <c r="C94" s="27"/>
      <c r="D94" s="36"/>
      <c r="E94" s="26">
        <f t="shared" si="2"/>
        <v>0</v>
      </c>
      <c r="G94" s="7"/>
      <c r="J94" s="7"/>
      <c r="K94" s="7"/>
      <c r="P94" s="8">
        <f t="shared" si="3"/>
        <v>0</v>
      </c>
    </row>
    <row r="95" spans="1:16" ht="15.75" hidden="1" x14ac:dyDescent="0.25">
      <c r="A95" s="24">
        <v>8</v>
      </c>
      <c r="B95" s="25" t="s">
        <v>1</v>
      </c>
      <c r="C95" s="27"/>
      <c r="D95" s="36"/>
      <c r="E95" s="26">
        <f t="shared" si="2"/>
        <v>0</v>
      </c>
      <c r="G95" s="7"/>
      <c r="J95" s="7"/>
      <c r="K95" s="7"/>
      <c r="P95" s="8">
        <f t="shared" si="3"/>
        <v>0</v>
      </c>
    </row>
    <row r="96" spans="1:16" ht="15.75" hidden="1" x14ac:dyDescent="0.25">
      <c r="A96" s="24">
        <v>9</v>
      </c>
      <c r="B96" s="25" t="s">
        <v>2</v>
      </c>
      <c r="C96" s="27"/>
      <c r="D96" s="36"/>
      <c r="E96" s="26">
        <f t="shared" si="2"/>
        <v>0</v>
      </c>
      <c r="G96" s="7"/>
      <c r="J96" s="7"/>
      <c r="K96" s="7"/>
      <c r="P96" s="8">
        <f t="shared" si="3"/>
        <v>0</v>
      </c>
    </row>
    <row r="97" spans="1:16" ht="15.75" hidden="1" x14ac:dyDescent="0.25">
      <c r="A97" s="24">
        <v>10</v>
      </c>
      <c r="B97" s="25" t="s">
        <v>137</v>
      </c>
      <c r="C97" s="27"/>
      <c r="D97" s="36"/>
      <c r="E97" s="26">
        <f t="shared" si="2"/>
        <v>0</v>
      </c>
      <c r="G97" s="7"/>
      <c r="J97" s="7"/>
      <c r="K97" s="7"/>
      <c r="P97" s="8">
        <f t="shared" si="3"/>
        <v>0</v>
      </c>
    </row>
    <row r="98" spans="1:16" ht="15.75" hidden="1" x14ac:dyDescent="0.25">
      <c r="A98" s="24">
        <v>11</v>
      </c>
      <c r="B98" s="25" t="s">
        <v>138</v>
      </c>
      <c r="C98" s="27"/>
      <c r="D98" s="36"/>
      <c r="E98" s="26">
        <f t="shared" si="2"/>
        <v>0</v>
      </c>
      <c r="G98" s="7"/>
      <c r="J98" s="7"/>
      <c r="K98" s="7"/>
      <c r="P98" s="8">
        <f t="shared" si="3"/>
        <v>0</v>
      </c>
    </row>
    <row r="99" spans="1:16" ht="15.75" hidden="1" x14ac:dyDescent="0.25">
      <c r="A99" s="24">
        <v>12</v>
      </c>
      <c r="B99" s="25" t="s">
        <v>139</v>
      </c>
      <c r="C99" s="27"/>
      <c r="D99" s="36"/>
      <c r="E99" s="26">
        <f t="shared" si="2"/>
        <v>0</v>
      </c>
      <c r="G99" s="7"/>
      <c r="J99" s="7"/>
      <c r="K99" s="7"/>
      <c r="P99" s="8">
        <f t="shared" si="3"/>
        <v>0</v>
      </c>
    </row>
    <row r="100" spans="1:16" ht="15.75" x14ac:dyDescent="0.25">
      <c r="A100" s="21" t="s">
        <v>116</v>
      </c>
      <c r="B100" s="16" t="s">
        <v>63</v>
      </c>
      <c r="C100" s="27">
        <f>C86+C85</f>
        <v>27829.499999999996</v>
      </c>
      <c r="D100" s="27">
        <f>D86+D85</f>
        <v>29402.450519999999</v>
      </c>
      <c r="E100" s="26">
        <f t="shared" si="2"/>
        <v>-1572.9505200000021</v>
      </c>
      <c r="G100" s="7"/>
      <c r="I100" s="8">
        <f>I85-I86</f>
        <v>-2416.0600000000013</v>
      </c>
      <c r="J100" s="7"/>
      <c r="K100" s="7"/>
      <c r="O100" s="1">
        <f>SUM(O12:O86)</f>
        <v>30195.797880000002</v>
      </c>
      <c r="P100" s="8">
        <f>O100-D100</f>
        <v>793.34736000000339</v>
      </c>
    </row>
    <row r="101" spans="1:16" ht="15.75" x14ac:dyDescent="0.25">
      <c r="A101" s="21" t="s">
        <v>129</v>
      </c>
      <c r="B101" s="16" t="s">
        <v>16</v>
      </c>
      <c r="C101" s="27">
        <f>C79+C70</f>
        <v>4335.3099999999995</v>
      </c>
      <c r="D101" s="27">
        <v>4301.7412399999994</v>
      </c>
      <c r="E101" s="26">
        <f t="shared" si="2"/>
        <v>33.568760000000111</v>
      </c>
      <c r="G101" s="7">
        <f>3971912/1000</f>
        <v>3971.9119999999998</v>
      </c>
      <c r="I101" s="8">
        <v>23399.8</v>
      </c>
      <c r="J101" s="8"/>
      <c r="K101" s="8"/>
      <c r="O101" s="8">
        <f>Лист2!P3</f>
        <v>30195797.879999999</v>
      </c>
    </row>
    <row r="102" spans="1:16" ht="15.75" x14ac:dyDescent="0.25">
      <c r="A102" s="229" t="s">
        <v>65</v>
      </c>
      <c r="B102" s="229"/>
      <c r="I102" s="8">
        <f>I101-C85</f>
        <v>3402.3500000000022</v>
      </c>
    </row>
    <row r="103" spans="1:16" ht="15.75" x14ac:dyDescent="0.25">
      <c r="A103" s="232" t="s">
        <v>66</v>
      </c>
      <c r="B103" s="232"/>
      <c r="C103" s="232"/>
      <c r="D103" s="232"/>
      <c r="E103" s="48"/>
    </row>
    <row r="104" spans="1:16" ht="15.75" x14ac:dyDescent="0.25">
      <c r="A104" s="3"/>
    </row>
    <row r="105" spans="1:16" ht="15.75" x14ac:dyDescent="0.25">
      <c r="A105" s="4" t="s">
        <v>67</v>
      </c>
      <c r="O105" s="8">
        <f>C100-D100</f>
        <v>-1572.9505200000021</v>
      </c>
    </row>
    <row r="106" spans="1:16" x14ac:dyDescent="0.25">
      <c r="A106" s="5" t="s">
        <v>68</v>
      </c>
      <c r="E106" s="148"/>
      <c r="G106" s="1">
        <v>5033176.24</v>
      </c>
      <c r="H106" s="8">
        <f>G106-D16</f>
        <v>5030724.45</v>
      </c>
      <c r="I106" s="8">
        <f>G106-H106</f>
        <v>2451.7900000000373</v>
      </c>
    </row>
    <row r="107" spans="1:16" ht="15.75" x14ac:dyDescent="0.25">
      <c r="A107" s="4" t="s">
        <v>69</v>
      </c>
      <c r="E107" s="149"/>
      <c r="G107" s="136">
        <v>3971912</v>
      </c>
    </row>
    <row r="108" spans="1:16" ht="15.75" x14ac:dyDescent="0.25">
      <c r="A108" s="4" t="s">
        <v>118</v>
      </c>
      <c r="E108" s="150"/>
      <c r="G108" s="8">
        <f>D70+D79</f>
        <v>5247.630079999999</v>
      </c>
    </row>
    <row r="109" spans="1:16" x14ac:dyDescent="0.25">
      <c r="A109" s="5" t="s">
        <v>70</v>
      </c>
      <c r="E109" s="150"/>
    </row>
    <row r="110" spans="1:16" ht="15.75" x14ac:dyDescent="0.25">
      <c r="A110" s="4" t="s">
        <v>71</v>
      </c>
      <c r="I110" s="8"/>
    </row>
    <row r="111" spans="1:16" ht="15.75" x14ac:dyDescent="0.25">
      <c r="A111" s="4"/>
      <c r="I111" s="8"/>
    </row>
    <row r="112" spans="1:16" ht="15.75" x14ac:dyDescent="0.25">
      <c r="A112" s="4" t="s">
        <v>117</v>
      </c>
    </row>
    <row r="113" spans="1:14" x14ac:dyDescent="0.25">
      <c r="A113" s="5" t="s">
        <v>72</v>
      </c>
    </row>
    <row r="114" spans="1:14" ht="15.75" x14ac:dyDescent="0.25">
      <c r="A114" s="4" t="s">
        <v>73</v>
      </c>
    </row>
    <row r="115" spans="1:14" ht="15.75" x14ac:dyDescent="0.25">
      <c r="A115" s="4" t="s">
        <v>74</v>
      </c>
    </row>
    <row r="116" spans="1:14" x14ac:dyDescent="0.25">
      <c r="D116" s="6">
        <v>21060.574894999998</v>
      </c>
    </row>
    <row r="118" spans="1:14" x14ac:dyDescent="0.25">
      <c r="C118" s="8"/>
      <c r="D118" s="149">
        <f>29402440.2/1000</f>
        <v>29402.440200000001</v>
      </c>
      <c r="N118" s="8">
        <f>D118-D86</f>
        <v>21060.57531</v>
      </c>
    </row>
    <row r="119" spans="1:14" x14ac:dyDescent="0.25">
      <c r="C119" s="8"/>
      <c r="D119" s="149">
        <f>D100</f>
        <v>29402.450519999999</v>
      </c>
      <c r="N119" s="8">
        <f>D85-N118</f>
        <v>1.0319999997591367E-2</v>
      </c>
    </row>
    <row r="120" spans="1:14" x14ac:dyDescent="0.25">
      <c r="D120" s="149">
        <f>D118-D119</f>
        <v>-1.0319999997591367E-2</v>
      </c>
    </row>
    <row r="121" spans="1:14" x14ac:dyDescent="0.25">
      <c r="C121" s="8"/>
    </row>
    <row r="123" spans="1:14" x14ac:dyDescent="0.25">
      <c r="D123" s="6">
        <f>4.30174124*1000</f>
        <v>4301.7412400000003</v>
      </c>
    </row>
    <row r="124" spans="1:14" x14ac:dyDescent="0.25">
      <c r="D124" s="149">
        <f>D101-D123</f>
        <v>0</v>
      </c>
    </row>
  </sheetData>
  <mergeCells count="11">
    <mergeCell ref="A8:D8"/>
    <mergeCell ref="A20:B20"/>
    <mergeCell ref="A87:B87"/>
    <mergeCell ref="A102:B102"/>
    <mergeCell ref="A103:D103"/>
    <mergeCell ref="A7:D7"/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7" workbookViewId="0">
      <selection activeCell="H22" sqref="H22:I22"/>
    </sheetView>
  </sheetViews>
  <sheetFormatPr defaultRowHeight="15" x14ac:dyDescent="0.25"/>
  <cols>
    <col min="10" max="10" width="11.7109375" bestFit="1" customWidth="1"/>
  </cols>
  <sheetData>
    <row r="1" spans="1:13" x14ac:dyDescent="0.25">
      <c r="A1" s="264" t="s">
        <v>149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3" ht="15.75" x14ac:dyDescent="0.25">
      <c r="A2" s="265" t="s">
        <v>247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4" spans="1:13" x14ac:dyDescent="0.25">
      <c r="A4" s="266" t="s">
        <v>151</v>
      </c>
      <c r="B4" s="266"/>
      <c r="C4" s="266"/>
      <c r="D4" s="266" t="s">
        <v>152</v>
      </c>
      <c r="E4" s="266"/>
      <c r="F4" s="266"/>
      <c r="G4" s="266"/>
      <c r="H4" s="266"/>
      <c r="I4" s="266"/>
      <c r="J4" s="266"/>
      <c r="K4" s="266"/>
      <c r="L4" s="266"/>
    </row>
    <row r="7" spans="1:13" x14ac:dyDescent="0.25">
      <c r="A7" s="52" t="s">
        <v>153</v>
      </c>
      <c r="B7" s="52"/>
      <c r="C7" s="52" t="s">
        <v>154</v>
      </c>
      <c r="D7" s="52"/>
      <c r="E7" s="52"/>
    </row>
    <row r="9" spans="1:13" x14ac:dyDescent="0.25">
      <c r="A9" s="259" t="s">
        <v>155</v>
      </c>
      <c r="B9" s="259"/>
      <c r="C9" s="259"/>
      <c r="D9" s="259"/>
      <c r="E9" s="267" t="s">
        <v>156</v>
      </c>
      <c r="F9" s="267"/>
      <c r="G9" s="267"/>
      <c r="H9" s="267" t="s">
        <v>157</v>
      </c>
      <c r="I9" s="267"/>
      <c r="J9" s="267"/>
      <c r="K9" s="267" t="s">
        <v>158</v>
      </c>
      <c r="L9" s="267"/>
      <c r="M9" s="267"/>
    </row>
    <row r="10" spans="1:13" x14ac:dyDescent="0.25">
      <c r="A10" s="259" t="s">
        <v>159</v>
      </c>
      <c r="B10" s="259"/>
      <c r="C10" s="259"/>
      <c r="D10" s="259"/>
      <c r="E10" s="254" t="s">
        <v>160</v>
      </c>
      <c r="F10" s="254"/>
      <c r="G10" s="254" t="s">
        <v>161</v>
      </c>
      <c r="H10" s="254" t="s">
        <v>160</v>
      </c>
      <c r="I10" s="254"/>
      <c r="J10" s="254" t="s">
        <v>161</v>
      </c>
      <c r="K10" s="254" t="s">
        <v>160</v>
      </c>
      <c r="L10" s="254" t="s">
        <v>161</v>
      </c>
      <c r="M10" s="254"/>
    </row>
    <row r="11" spans="1:13" x14ac:dyDescent="0.25">
      <c r="A11" s="259" t="s">
        <v>248</v>
      </c>
      <c r="B11" s="259"/>
      <c r="C11" s="259"/>
      <c r="D11" s="259"/>
      <c r="E11" s="257"/>
      <c r="F11" s="258"/>
      <c r="G11" s="263"/>
      <c r="H11" s="257"/>
      <c r="I11" s="258"/>
      <c r="J11" s="263"/>
      <c r="K11" s="263"/>
      <c r="L11" s="257"/>
      <c r="M11" s="258"/>
    </row>
    <row r="12" spans="1:13" x14ac:dyDescent="0.25">
      <c r="A12" s="260" t="s">
        <v>249</v>
      </c>
      <c r="B12" s="260"/>
      <c r="C12" s="260"/>
      <c r="D12" s="260"/>
      <c r="E12" s="53"/>
      <c r="F12" s="54"/>
      <c r="G12" s="55"/>
      <c r="H12" s="261">
        <v>9880081.2599999998</v>
      </c>
      <c r="I12" s="261"/>
      <c r="J12" s="56">
        <v>9880081.2599999998</v>
      </c>
      <c r="K12" s="55"/>
      <c r="L12" s="53"/>
      <c r="M12" s="54"/>
    </row>
    <row r="13" spans="1:13" x14ac:dyDescent="0.25">
      <c r="A13" s="251" t="s">
        <v>250</v>
      </c>
      <c r="B13" s="251"/>
      <c r="C13" s="251"/>
      <c r="D13" s="251"/>
      <c r="E13" s="57"/>
      <c r="F13" s="58"/>
      <c r="G13" s="59"/>
      <c r="H13" s="252">
        <v>517765.11</v>
      </c>
      <c r="I13" s="252"/>
      <c r="J13" s="60">
        <v>749313.43</v>
      </c>
      <c r="K13" s="59"/>
      <c r="L13" s="252">
        <v>231548.32</v>
      </c>
      <c r="M13" s="252"/>
    </row>
    <row r="14" spans="1:13" x14ac:dyDescent="0.25">
      <c r="A14" s="253" t="s">
        <v>250</v>
      </c>
      <c r="B14" s="253"/>
      <c r="C14" s="253"/>
      <c r="D14" s="253"/>
      <c r="E14" s="61"/>
      <c r="F14" s="62"/>
      <c r="G14" s="63"/>
      <c r="H14" s="247">
        <v>517765.11</v>
      </c>
      <c r="I14" s="247"/>
      <c r="J14" s="64">
        <v>749313.43</v>
      </c>
      <c r="K14" s="63"/>
      <c r="L14" s="61"/>
      <c r="M14" s="62"/>
    </row>
    <row r="15" spans="1:13" x14ac:dyDescent="0.25">
      <c r="A15" s="251" t="s">
        <v>165</v>
      </c>
      <c r="B15" s="251"/>
      <c r="C15" s="251"/>
      <c r="D15" s="251"/>
      <c r="E15" s="57"/>
      <c r="F15" s="58"/>
      <c r="G15" s="59"/>
      <c r="H15" s="252">
        <v>26074.07</v>
      </c>
      <c r="I15" s="252"/>
      <c r="J15" s="59"/>
      <c r="K15" s="60">
        <v>26074.07</v>
      </c>
      <c r="L15" s="57"/>
      <c r="M15" s="58"/>
    </row>
    <row r="16" spans="1:13" x14ac:dyDescent="0.25">
      <c r="A16" s="253" t="s">
        <v>251</v>
      </c>
      <c r="B16" s="253"/>
      <c r="C16" s="253"/>
      <c r="D16" s="253"/>
      <c r="E16" s="61"/>
      <c r="F16" s="62"/>
      <c r="G16" s="63"/>
      <c r="H16" s="247">
        <v>26074.07</v>
      </c>
      <c r="I16" s="247"/>
      <c r="J16" s="63"/>
      <c r="K16" s="63"/>
      <c r="L16" s="61"/>
      <c r="M16" s="62"/>
    </row>
    <row r="17" spans="1:14" x14ac:dyDescent="0.25">
      <c r="A17" s="251" t="s">
        <v>170</v>
      </c>
      <c r="B17" s="251"/>
      <c r="C17" s="251"/>
      <c r="D17" s="251"/>
      <c r="E17" s="57"/>
      <c r="F17" s="58"/>
      <c r="G17" s="59"/>
      <c r="H17" s="252">
        <v>9336242.0800000001</v>
      </c>
      <c r="I17" s="252"/>
      <c r="J17" s="60">
        <v>9130767.8300000001</v>
      </c>
      <c r="K17" s="60">
        <v>205474.25</v>
      </c>
      <c r="L17" s="57"/>
      <c r="M17" s="58"/>
    </row>
    <row r="18" spans="1:14" x14ac:dyDescent="0.25">
      <c r="A18" s="253" t="s">
        <v>252</v>
      </c>
      <c r="B18" s="253"/>
      <c r="C18" s="253"/>
      <c r="D18" s="253"/>
      <c r="E18" s="61"/>
      <c r="F18" s="62"/>
      <c r="G18" s="63"/>
      <c r="H18" s="61"/>
      <c r="I18" s="62"/>
      <c r="J18" s="64">
        <v>12361.2</v>
      </c>
      <c r="K18" s="63"/>
      <c r="L18" s="61"/>
      <c r="M18" s="62"/>
    </row>
    <row r="19" spans="1:14" x14ac:dyDescent="0.25">
      <c r="A19" s="253" t="s">
        <v>253</v>
      </c>
      <c r="B19" s="253"/>
      <c r="C19" s="253"/>
      <c r="D19" s="253"/>
      <c r="E19" s="61"/>
      <c r="F19" s="62"/>
      <c r="G19" s="63"/>
      <c r="H19" s="274">
        <v>143283</v>
      </c>
      <c r="I19" s="274"/>
      <c r="J19" s="63"/>
      <c r="K19" s="63"/>
      <c r="L19" s="61"/>
      <c r="M19" s="62"/>
      <c r="N19">
        <v>143283</v>
      </c>
    </row>
    <row r="20" spans="1:14" x14ac:dyDescent="0.25">
      <c r="A20" s="253" t="s">
        <v>254</v>
      </c>
      <c r="B20" s="253"/>
      <c r="C20" s="253"/>
      <c r="D20" s="253"/>
      <c r="E20" s="61"/>
      <c r="F20" s="62"/>
      <c r="G20" s="63"/>
      <c r="H20" s="247">
        <v>6219.13</v>
      </c>
      <c r="I20" s="247"/>
      <c r="J20" s="63"/>
      <c r="K20" s="63"/>
      <c r="L20" s="61"/>
      <c r="M20" s="62"/>
    </row>
    <row r="21" spans="1:14" x14ac:dyDescent="0.25">
      <c r="A21" s="253" t="s">
        <v>255</v>
      </c>
      <c r="B21" s="253"/>
      <c r="C21" s="253"/>
      <c r="D21" s="253"/>
      <c r="E21" s="61"/>
      <c r="F21" s="62"/>
      <c r="G21" s="63"/>
      <c r="H21" s="250">
        <v>272.08999999999997</v>
      </c>
      <c r="I21" s="250"/>
      <c r="J21" s="63"/>
      <c r="K21" s="63"/>
      <c r="L21" s="61"/>
      <c r="M21" s="62"/>
    </row>
    <row r="22" spans="1:14" x14ac:dyDescent="0.25">
      <c r="A22" s="253" t="s">
        <v>14</v>
      </c>
      <c r="B22" s="253"/>
      <c r="C22" s="253"/>
      <c r="D22" s="253"/>
      <c r="E22" s="61"/>
      <c r="F22" s="62"/>
      <c r="G22" s="63"/>
      <c r="H22" s="270">
        <v>484315</v>
      </c>
      <c r="I22" s="270"/>
      <c r="J22" s="63"/>
      <c r="K22" s="63"/>
      <c r="L22" s="61"/>
      <c r="M22" s="62"/>
      <c r="N22">
        <v>484315</v>
      </c>
    </row>
    <row r="23" spans="1:14" x14ac:dyDescent="0.25">
      <c r="A23" s="253" t="s">
        <v>256</v>
      </c>
      <c r="B23" s="253"/>
      <c r="C23" s="253"/>
      <c r="D23" s="253"/>
      <c r="E23" s="61"/>
      <c r="F23" s="62"/>
      <c r="G23" s="63"/>
      <c r="H23" s="250">
        <v>404.09</v>
      </c>
      <c r="I23" s="250"/>
      <c r="J23" s="63"/>
      <c r="K23" s="63"/>
      <c r="L23" s="61"/>
      <c r="M23" s="62"/>
    </row>
    <row r="24" spans="1:14" x14ac:dyDescent="0.25">
      <c r="A24" s="253" t="s">
        <v>257</v>
      </c>
      <c r="B24" s="253"/>
      <c r="C24" s="253"/>
      <c r="D24" s="253"/>
      <c r="E24" s="61"/>
      <c r="F24" s="62"/>
      <c r="G24" s="63"/>
      <c r="H24" s="61"/>
      <c r="I24" s="62"/>
      <c r="J24" s="64">
        <v>408839.76</v>
      </c>
      <c r="K24" s="63"/>
      <c r="L24" s="61"/>
      <c r="M24" s="62"/>
    </row>
    <row r="25" spans="1:14" x14ac:dyDescent="0.25">
      <c r="A25" s="253" t="s">
        <v>258</v>
      </c>
      <c r="B25" s="253"/>
      <c r="C25" s="253"/>
      <c r="D25" s="253"/>
      <c r="E25" s="61"/>
      <c r="F25" s="62"/>
      <c r="G25" s="63"/>
      <c r="H25" s="247">
        <v>113970</v>
      </c>
      <c r="I25" s="247"/>
      <c r="J25" s="64">
        <v>113970</v>
      </c>
      <c r="K25" s="63"/>
      <c r="L25" s="61"/>
      <c r="M25" s="62"/>
    </row>
    <row r="26" spans="1:14" x14ac:dyDescent="0.25">
      <c r="A26" s="253" t="s">
        <v>259</v>
      </c>
      <c r="B26" s="253"/>
      <c r="C26" s="253"/>
      <c r="D26" s="253"/>
      <c r="E26" s="61"/>
      <c r="F26" s="62"/>
      <c r="G26" s="63"/>
      <c r="H26" s="61"/>
      <c r="I26" s="62"/>
      <c r="J26" s="65">
        <v>40</v>
      </c>
      <c r="K26" s="63"/>
      <c r="L26" s="61"/>
      <c r="M26" s="62"/>
    </row>
    <row r="27" spans="1:14" x14ac:dyDescent="0.25">
      <c r="A27" s="253" t="s">
        <v>260</v>
      </c>
      <c r="B27" s="253"/>
      <c r="C27" s="253"/>
      <c r="D27" s="253"/>
      <c r="E27" s="61"/>
      <c r="F27" s="62"/>
      <c r="G27" s="63"/>
      <c r="H27" s="61"/>
      <c r="I27" s="62"/>
      <c r="J27" s="64">
        <v>114390.01</v>
      </c>
      <c r="K27" s="63"/>
      <c r="L27" s="61"/>
      <c r="M27" s="62"/>
    </row>
    <row r="28" spans="1:14" x14ac:dyDescent="0.25">
      <c r="A28" s="253" t="s">
        <v>261</v>
      </c>
      <c r="B28" s="253"/>
      <c r="C28" s="253"/>
      <c r="D28" s="253"/>
      <c r="E28" s="61"/>
      <c r="F28" s="62"/>
      <c r="G28" s="63"/>
      <c r="H28" s="270">
        <v>40547</v>
      </c>
      <c r="I28" s="270"/>
      <c r="J28" s="63"/>
      <c r="K28" s="63"/>
      <c r="L28" s="61"/>
      <c r="M28" s="62"/>
      <c r="N28" s="73">
        <v>40547</v>
      </c>
    </row>
    <row r="29" spans="1:14" x14ac:dyDescent="0.25">
      <c r="A29" s="253" t="s">
        <v>262</v>
      </c>
      <c r="B29" s="253"/>
      <c r="C29" s="253"/>
      <c r="D29" s="253"/>
      <c r="E29" s="61"/>
      <c r="F29" s="62"/>
      <c r="G29" s="63"/>
      <c r="H29" s="61"/>
      <c r="I29" s="62"/>
      <c r="J29" s="64">
        <v>8481166.8599999994</v>
      </c>
      <c r="K29" s="63"/>
      <c r="L29" s="61"/>
      <c r="M29" s="62"/>
    </row>
    <row r="30" spans="1:14" x14ac:dyDescent="0.25">
      <c r="A30" s="253" t="s">
        <v>262</v>
      </c>
      <c r="B30" s="253"/>
      <c r="C30" s="253"/>
      <c r="D30" s="253"/>
      <c r="E30" s="61"/>
      <c r="F30" s="62"/>
      <c r="G30" s="63"/>
      <c r="H30" s="247">
        <v>8481166.8599999994</v>
      </c>
      <c r="I30" s="247"/>
      <c r="J30" s="63"/>
      <c r="K30" s="63"/>
      <c r="L30" s="61"/>
      <c r="M30" s="62"/>
    </row>
    <row r="31" spans="1:14" x14ac:dyDescent="0.25">
      <c r="A31" s="253" t="s">
        <v>263</v>
      </c>
      <c r="B31" s="253"/>
      <c r="C31" s="253"/>
      <c r="D31" s="253"/>
      <c r="E31" s="61"/>
      <c r="F31" s="62"/>
      <c r="G31" s="63"/>
      <c r="H31" s="270">
        <v>42064.91</v>
      </c>
      <c r="I31" s="270"/>
      <c r="J31" s="63"/>
      <c r="K31" s="63"/>
      <c r="L31" s="61"/>
      <c r="M31" s="62"/>
      <c r="N31" s="73">
        <v>42064.91</v>
      </c>
    </row>
    <row r="32" spans="1:14" x14ac:dyDescent="0.25">
      <c r="A32" s="253" t="s">
        <v>264</v>
      </c>
      <c r="B32" s="253"/>
      <c r="C32" s="253"/>
      <c r="D32" s="253"/>
      <c r="E32" s="61"/>
      <c r="F32" s="62"/>
      <c r="G32" s="63"/>
      <c r="H32" s="270">
        <v>24000</v>
      </c>
      <c r="I32" s="270"/>
      <c r="J32" s="63"/>
      <c r="K32" s="63"/>
      <c r="L32" s="61"/>
      <c r="M32" s="62"/>
      <c r="N32" s="73">
        <v>24000</v>
      </c>
    </row>
    <row r="33" spans="1:13" x14ac:dyDescent="0.25">
      <c r="A33" s="248" t="s">
        <v>185</v>
      </c>
      <c r="B33" s="248"/>
      <c r="C33" s="248"/>
      <c r="D33" s="248"/>
      <c r="E33" s="66"/>
      <c r="F33" s="67"/>
      <c r="G33" s="68"/>
      <c r="H33" s="249">
        <v>9880081.2599999998</v>
      </c>
      <c r="I33" s="249"/>
      <c r="J33" s="69">
        <v>9880081.2599999998</v>
      </c>
      <c r="K33" s="68"/>
      <c r="L33" s="66"/>
      <c r="M33" s="67"/>
    </row>
  </sheetData>
  <mergeCells count="56">
    <mergeCell ref="A1:L1"/>
    <mergeCell ref="A2:L2"/>
    <mergeCell ref="A4:C4"/>
    <mergeCell ref="D4:L4"/>
    <mergeCell ref="A9:D9"/>
    <mergeCell ref="E9:G9"/>
    <mergeCell ref="H9:J9"/>
    <mergeCell ref="K9:M9"/>
    <mergeCell ref="L10:M11"/>
    <mergeCell ref="A11:D11"/>
    <mergeCell ref="A12:D12"/>
    <mergeCell ref="H12:I12"/>
    <mergeCell ref="A13:D13"/>
    <mergeCell ref="H13:I13"/>
    <mergeCell ref="L13:M13"/>
    <mergeCell ref="A10:D10"/>
    <mergeCell ref="E10:F11"/>
    <mergeCell ref="G10:G11"/>
    <mergeCell ref="H10:I11"/>
    <mergeCell ref="J10:J11"/>
    <mergeCell ref="K10:K11"/>
    <mergeCell ref="A20:D20"/>
    <mergeCell ref="H20:I20"/>
    <mergeCell ref="A14:D14"/>
    <mergeCell ref="H14:I14"/>
    <mergeCell ref="A15:D15"/>
    <mergeCell ref="H15:I15"/>
    <mergeCell ref="A16:D16"/>
    <mergeCell ref="H16:I16"/>
    <mergeCell ref="A17:D17"/>
    <mergeCell ref="H17:I17"/>
    <mergeCell ref="A18:D18"/>
    <mergeCell ref="A19:D19"/>
    <mergeCell ref="H19:I19"/>
    <mergeCell ref="A28:D28"/>
    <mergeCell ref="H28:I28"/>
    <mergeCell ref="A21:D21"/>
    <mergeCell ref="H21:I21"/>
    <mergeCell ref="A22:D22"/>
    <mergeCell ref="H22:I22"/>
    <mergeCell ref="A23:D23"/>
    <mergeCell ref="H23:I23"/>
    <mergeCell ref="A24:D24"/>
    <mergeCell ref="A25:D25"/>
    <mergeCell ref="H25:I25"/>
    <mergeCell ref="A26:D26"/>
    <mergeCell ref="A27:D27"/>
    <mergeCell ref="A33:D33"/>
    <mergeCell ref="H33:I33"/>
    <mergeCell ref="A29:D29"/>
    <mergeCell ref="A30:D30"/>
    <mergeCell ref="H30:I30"/>
    <mergeCell ref="A31:D31"/>
    <mergeCell ref="H31:I31"/>
    <mergeCell ref="A32:D32"/>
    <mergeCell ref="H32:I3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workbookViewId="0">
      <selection activeCell="R12" sqref="R12"/>
    </sheetView>
  </sheetViews>
  <sheetFormatPr defaultRowHeight="15" x14ac:dyDescent="0.25"/>
  <cols>
    <col min="10" max="10" width="11.7109375" bestFit="1" customWidth="1"/>
  </cols>
  <sheetData>
    <row r="1" spans="1:13" x14ac:dyDescent="0.25">
      <c r="A1" s="264" t="s">
        <v>149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3" ht="15.75" x14ac:dyDescent="0.25">
      <c r="A2" s="265" t="s">
        <v>265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4" spans="1:13" x14ac:dyDescent="0.25">
      <c r="A4" s="266" t="s">
        <v>151</v>
      </c>
      <c r="B4" s="266"/>
      <c r="C4" s="266"/>
      <c r="D4" s="266" t="s">
        <v>152</v>
      </c>
      <c r="E4" s="266"/>
      <c r="F4" s="266"/>
      <c r="G4" s="266"/>
      <c r="H4" s="266"/>
      <c r="I4" s="266"/>
      <c r="J4" s="266"/>
      <c r="K4" s="266"/>
      <c r="L4" s="266"/>
    </row>
    <row r="7" spans="1:13" x14ac:dyDescent="0.25">
      <c r="A7" s="52" t="s">
        <v>153</v>
      </c>
      <c r="B7" s="52"/>
      <c r="C7" s="52" t="s">
        <v>154</v>
      </c>
      <c r="D7" s="52"/>
      <c r="E7" s="52"/>
    </row>
    <row r="9" spans="1:13" x14ac:dyDescent="0.25">
      <c r="A9" s="259" t="s">
        <v>155</v>
      </c>
      <c r="B9" s="259"/>
      <c r="C9" s="259"/>
      <c r="D9" s="259"/>
      <c r="E9" s="267" t="s">
        <v>156</v>
      </c>
      <c r="F9" s="267"/>
      <c r="G9" s="267"/>
      <c r="H9" s="267" t="s">
        <v>157</v>
      </c>
      <c r="I9" s="267"/>
      <c r="J9" s="267"/>
      <c r="K9" s="267" t="s">
        <v>158</v>
      </c>
      <c r="L9" s="267"/>
      <c r="M9" s="267"/>
    </row>
    <row r="10" spans="1:13" x14ac:dyDescent="0.25">
      <c r="A10" s="259" t="s">
        <v>159</v>
      </c>
      <c r="B10" s="259"/>
      <c r="C10" s="259"/>
      <c r="D10" s="259"/>
      <c r="E10" s="254" t="s">
        <v>160</v>
      </c>
      <c r="F10" s="254"/>
      <c r="G10" s="254" t="s">
        <v>161</v>
      </c>
      <c r="H10" s="254" t="s">
        <v>160</v>
      </c>
      <c r="I10" s="254"/>
      <c r="J10" s="254" t="s">
        <v>161</v>
      </c>
      <c r="K10" s="254" t="s">
        <v>160</v>
      </c>
      <c r="L10" s="254" t="s">
        <v>161</v>
      </c>
      <c r="M10" s="254"/>
    </row>
    <row r="11" spans="1:13" x14ac:dyDescent="0.25">
      <c r="A11" s="259" t="s">
        <v>266</v>
      </c>
      <c r="B11" s="259"/>
      <c r="C11" s="259"/>
      <c r="D11" s="259"/>
      <c r="E11" s="257"/>
      <c r="F11" s="258"/>
      <c r="G11" s="263"/>
      <c r="H11" s="257"/>
      <c r="I11" s="258"/>
      <c r="J11" s="263"/>
      <c r="K11" s="263"/>
      <c r="L11" s="257"/>
      <c r="M11" s="258"/>
    </row>
    <row r="12" spans="1:13" x14ac:dyDescent="0.25">
      <c r="A12" s="260" t="s">
        <v>267</v>
      </c>
      <c r="B12" s="260"/>
      <c r="C12" s="260"/>
      <c r="D12" s="260"/>
      <c r="E12" s="261">
        <v>39767.230000000003</v>
      </c>
      <c r="F12" s="261"/>
      <c r="G12" s="55"/>
      <c r="H12" s="261">
        <v>2333950.61</v>
      </c>
      <c r="I12" s="261"/>
      <c r="J12" s="56">
        <v>2194562.1800000002</v>
      </c>
      <c r="K12" s="56">
        <v>179155.66</v>
      </c>
      <c r="L12" s="53"/>
      <c r="M12" s="54"/>
    </row>
    <row r="13" spans="1:13" x14ac:dyDescent="0.25">
      <c r="A13" s="251" t="s">
        <v>170</v>
      </c>
      <c r="B13" s="251"/>
      <c r="C13" s="251"/>
      <c r="D13" s="251"/>
      <c r="E13" s="252">
        <v>39767.230000000003</v>
      </c>
      <c r="F13" s="252"/>
      <c r="G13" s="59"/>
      <c r="H13" s="252">
        <v>2333950.61</v>
      </c>
      <c r="I13" s="252"/>
      <c r="J13" s="60">
        <v>2194562.1800000002</v>
      </c>
      <c r="K13" s="60">
        <v>179155.66</v>
      </c>
      <c r="L13" s="57"/>
      <c r="M13" s="58"/>
    </row>
    <row r="14" spans="1:13" x14ac:dyDescent="0.25">
      <c r="A14" s="253" t="s">
        <v>268</v>
      </c>
      <c r="B14" s="253"/>
      <c r="C14" s="253"/>
      <c r="D14" s="253"/>
      <c r="E14" s="61"/>
      <c r="F14" s="62"/>
      <c r="G14" s="63"/>
      <c r="H14" s="250">
        <v>570</v>
      </c>
      <c r="I14" s="250"/>
      <c r="J14" s="65">
        <v>570</v>
      </c>
      <c r="K14" s="63"/>
      <c r="L14" s="61"/>
      <c r="M14" s="62"/>
    </row>
    <row r="15" spans="1:13" x14ac:dyDescent="0.25">
      <c r="A15" s="253" t="s">
        <v>269</v>
      </c>
      <c r="B15" s="253"/>
      <c r="C15" s="253"/>
      <c r="D15" s="253"/>
      <c r="E15" s="61"/>
      <c r="F15" s="62"/>
      <c r="G15" s="63"/>
      <c r="H15" s="250">
        <v>420</v>
      </c>
      <c r="I15" s="250"/>
      <c r="J15" s="63"/>
      <c r="K15" s="65">
        <v>420</v>
      </c>
      <c r="L15" s="61"/>
      <c r="M15" s="62"/>
    </row>
    <row r="16" spans="1:13" x14ac:dyDescent="0.25">
      <c r="A16" s="253" t="s">
        <v>270</v>
      </c>
      <c r="B16" s="253"/>
      <c r="C16" s="253"/>
      <c r="D16" s="253"/>
      <c r="E16" s="61"/>
      <c r="F16" s="62"/>
      <c r="G16" s="63"/>
      <c r="H16" s="250">
        <v>0.01</v>
      </c>
      <c r="I16" s="250"/>
      <c r="J16" s="63"/>
      <c r="K16" s="65">
        <v>0.01</v>
      </c>
      <c r="L16" s="61"/>
      <c r="M16" s="62"/>
    </row>
    <row r="17" spans="1:13" x14ac:dyDescent="0.25">
      <c r="A17" s="253" t="s">
        <v>271</v>
      </c>
      <c r="B17" s="253"/>
      <c r="C17" s="253"/>
      <c r="D17" s="253"/>
      <c r="E17" s="61"/>
      <c r="F17" s="62"/>
      <c r="G17" s="63"/>
      <c r="H17" s="247">
        <v>113970</v>
      </c>
      <c r="I17" s="247"/>
      <c r="J17" s="64">
        <v>113970</v>
      </c>
      <c r="K17" s="63"/>
      <c r="L17" s="61"/>
      <c r="M17" s="62"/>
    </row>
    <row r="18" spans="1:13" x14ac:dyDescent="0.25">
      <c r="A18" s="253" t="s">
        <v>272</v>
      </c>
      <c r="B18" s="253"/>
      <c r="C18" s="253"/>
      <c r="D18" s="253"/>
      <c r="E18" s="61"/>
      <c r="F18" s="62"/>
      <c r="G18" s="63"/>
      <c r="H18" s="250">
        <v>315</v>
      </c>
      <c r="I18" s="250"/>
      <c r="J18" s="65">
        <v>315</v>
      </c>
      <c r="K18" s="63"/>
      <c r="L18" s="61"/>
      <c r="M18" s="62"/>
    </row>
    <row r="19" spans="1:13" x14ac:dyDescent="0.25">
      <c r="A19" s="253" t="s">
        <v>273</v>
      </c>
      <c r="B19" s="253"/>
      <c r="C19" s="253"/>
      <c r="D19" s="253"/>
      <c r="E19" s="61"/>
      <c r="F19" s="62"/>
      <c r="G19" s="63"/>
      <c r="H19" s="250">
        <v>280</v>
      </c>
      <c r="I19" s="250"/>
      <c r="J19" s="65">
        <v>280</v>
      </c>
      <c r="K19" s="63"/>
      <c r="L19" s="61"/>
      <c r="M19" s="62"/>
    </row>
    <row r="20" spans="1:13" x14ac:dyDescent="0.25">
      <c r="A20" s="253" t="s">
        <v>274</v>
      </c>
      <c r="B20" s="253"/>
      <c r="C20" s="253"/>
      <c r="D20" s="253"/>
      <c r="E20" s="61"/>
      <c r="F20" s="62"/>
      <c r="G20" s="63"/>
      <c r="H20" s="247">
        <v>15416.8</v>
      </c>
      <c r="I20" s="247"/>
      <c r="J20" s="64">
        <v>15416.8</v>
      </c>
      <c r="K20" s="63"/>
      <c r="L20" s="61"/>
      <c r="M20" s="62"/>
    </row>
    <row r="21" spans="1:13" x14ac:dyDescent="0.25">
      <c r="A21" s="253" t="s">
        <v>275</v>
      </c>
      <c r="B21" s="253"/>
      <c r="C21" s="253"/>
      <c r="D21" s="253"/>
      <c r="E21" s="61"/>
      <c r="F21" s="62"/>
      <c r="G21" s="63"/>
      <c r="H21" s="247">
        <v>15416.8</v>
      </c>
      <c r="I21" s="247"/>
      <c r="J21" s="64">
        <v>15416.8</v>
      </c>
      <c r="K21" s="63"/>
      <c r="L21" s="61"/>
      <c r="M21" s="62"/>
    </row>
    <row r="22" spans="1:13" x14ac:dyDescent="0.25">
      <c r="A22" s="253" t="s">
        <v>276</v>
      </c>
      <c r="B22" s="253"/>
      <c r="C22" s="253"/>
      <c r="D22" s="253"/>
      <c r="E22" s="61"/>
      <c r="F22" s="62"/>
      <c r="G22" s="63"/>
      <c r="H22" s="247">
        <v>7708.4</v>
      </c>
      <c r="I22" s="247"/>
      <c r="J22" s="64">
        <v>7708.4</v>
      </c>
      <c r="K22" s="63"/>
      <c r="L22" s="61"/>
      <c r="M22" s="62"/>
    </row>
    <row r="23" spans="1:13" x14ac:dyDescent="0.25">
      <c r="A23" s="253" t="s">
        <v>277</v>
      </c>
      <c r="B23" s="253"/>
      <c r="C23" s="253"/>
      <c r="D23" s="253"/>
      <c r="E23" s="61"/>
      <c r="F23" s="62"/>
      <c r="G23" s="63"/>
      <c r="H23" s="247">
        <v>5380.9</v>
      </c>
      <c r="I23" s="247"/>
      <c r="J23" s="64">
        <v>5380.9</v>
      </c>
      <c r="K23" s="63"/>
      <c r="L23" s="61"/>
      <c r="M23" s="62"/>
    </row>
    <row r="24" spans="1:13" x14ac:dyDescent="0.25">
      <c r="A24" s="253" t="s">
        <v>278</v>
      </c>
      <c r="B24" s="253"/>
      <c r="C24" s="253"/>
      <c r="D24" s="253"/>
      <c r="E24" s="61"/>
      <c r="F24" s="62"/>
      <c r="G24" s="63"/>
      <c r="H24" s="247">
        <v>10761.8</v>
      </c>
      <c r="I24" s="247"/>
      <c r="J24" s="64">
        <v>10761.8</v>
      </c>
      <c r="K24" s="63"/>
      <c r="L24" s="61"/>
      <c r="M24" s="62"/>
    </row>
    <row r="25" spans="1:13" x14ac:dyDescent="0.25">
      <c r="A25" s="253" t="s">
        <v>279</v>
      </c>
      <c r="B25" s="253"/>
      <c r="C25" s="253"/>
      <c r="D25" s="253"/>
      <c r="E25" s="61"/>
      <c r="F25" s="62"/>
      <c r="G25" s="63"/>
      <c r="H25" s="247">
        <v>5380.9</v>
      </c>
      <c r="I25" s="247"/>
      <c r="J25" s="64">
        <v>5380.9</v>
      </c>
      <c r="K25" s="63"/>
      <c r="L25" s="61"/>
      <c r="M25" s="62"/>
    </row>
    <row r="26" spans="1:13" x14ac:dyDescent="0.25">
      <c r="A26" s="253" t="s">
        <v>280</v>
      </c>
      <c r="B26" s="253"/>
      <c r="C26" s="253"/>
      <c r="D26" s="253"/>
      <c r="E26" s="61"/>
      <c r="F26" s="62"/>
      <c r="G26" s="63"/>
      <c r="H26" s="247">
        <v>5380.9</v>
      </c>
      <c r="I26" s="247"/>
      <c r="J26" s="64">
        <v>5380.9</v>
      </c>
      <c r="K26" s="63"/>
      <c r="L26" s="61"/>
      <c r="M26" s="62"/>
    </row>
    <row r="27" spans="1:13" x14ac:dyDescent="0.25">
      <c r="A27" s="253" t="s">
        <v>281</v>
      </c>
      <c r="B27" s="253"/>
      <c r="C27" s="253"/>
      <c r="D27" s="253"/>
      <c r="E27" s="61"/>
      <c r="F27" s="62"/>
      <c r="G27" s="63"/>
      <c r="H27" s="247">
        <v>4960.8</v>
      </c>
      <c r="I27" s="247"/>
      <c r="J27" s="64">
        <v>4960.8</v>
      </c>
      <c r="K27" s="63"/>
      <c r="L27" s="61"/>
      <c r="M27" s="62"/>
    </row>
    <row r="28" spans="1:13" x14ac:dyDescent="0.25">
      <c r="A28" s="253" t="s">
        <v>282</v>
      </c>
      <c r="B28" s="253"/>
      <c r="C28" s="253"/>
      <c r="D28" s="253"/>
      <c r="E28" s="61"/>
      <c r="F28" s="62"/>
      <c r="G28" s="63"/>
      <c r="H28" s="247">
        <v>9921.6</v>
      </c>
      <c r="I28" s="247"/>
      <c r="J28" s="64">
        <v>9921.6</v>
      </c>
      <c r="K28" s="63"/>
      <c r="L28" s="61"/>
      <c r="M28" s="62"/>
    </row>
    <row r="29" spans="1:13" x14ac:dyDescent="0.25">
      <c r="A29" s="253" t="s">
        <v>283</v>
      </c>
      <c r="B29" s="253"/>
      <c r="C29" s="253"/>
      <c r="D29" s="253"/>
      <c r="E29" s="61"/>
      <c r="F29" s="62"/>
      <c r="G29" s="63"/>
      <c r="H29" s="247">
        <v>4960.8</v>
      </c>
      <c r="I29" s="247"/>
      <c r="J29" s="64">
        <v>4960.8</v>
      </c>
      <c r="K29" s="63"/>
      <c r="L29" s="61"/>
      <c r="M29" s="62"/>
    </row>
    <row r="30" spans="1:13" x14ac:dyDescent="0.25">
      <c r="A30" s="253" t="s">
        <v>284</v>
      </c>
      <c r="B30" s="253"/>
      <c r="C30" s="253"/>
      <c r="D30" s="253"/>
      <c r="E30" s="61"/>
      <c r="F30" s="62"/>
      <c r="G30" s="63"/>
      <c r="H30" s="247">
        <v>4960.8</v>
      </c>
      <c r="I30" s="247"/>
      <c r="J30" s="64">
        <v>4960.8</v>
      </c>
      <c r="K30" s="63"/>
      <c r="L30" s="61"/>
      <c r="M30" s="62"/>
    </row>
    <row r="31" spans="1:13" x14ac:dyDescent="0.25">
      <c r="A31" s="253" t="s">
        <v>285</v>
      </c>
      <c r="B31" s="253"/>
      <c r="C31" s="253"/>
      <c r="D31" s="253"/>
      <c r="E31" s="247">
        <v>1195.94</v>
      </c>
      <c r="F31" s="247"/>
      <c r="G31" s="63"/>
      <c r="H31" s="61"/>
      <c r="I31" s="62"/>
      <c r="J31" s="65">
        <v>664.4</v>
      </c>
      <c r="K31" s="65">
        <v>531.54</v>
      </c>
      <c r="L31" s="61"/>
      <c r="M31" s="62"/>
    </row>
    <row r="32" spans="1:13" x14ac:dyDescent="0.25">
      <c r="A32" s="253" t="s">
        <v>286</v>
      </c>
      <c r="B32" s="253"/>
      <c r="C32" s="253"/>
      <c r="D32" s="253"/>
      <c r="E32" s="247">
        <v>2391.88</v>
      </c>
      <c r="F32" s="247"/>
      <c r="G32" s="63"/>
      <c r="H32" s="61"/>
      <c r="I32" s="62"/>
      <c r="J32" s="64">
        <v>1328.8</v>
      </c>
      <c r="K32" s="64">
        <v>1063.08</v>
      </c>
      <c r="L32" s="61"/>
      <c r="M32" s="62"/>
    </row>
    <row r="33" spans="1:13" x14ac:dyDescent="0.25">
      <c r="A33" s="253" t="s">
        <v>287</v>
      </c>
      <c r="B33" s="253"/>
      <c r="C33" s="253"/>
      <c r="D33" s="253"/>
      <c r="E33" s="247">
        <v>3587.82</v>
      </c>
      <c r="F33" s="247"/>
      <c r="G33" s="63"/>
      <c r="H33" s="61"/>
      <c r="I33" s="62"/>
      <c r="J33" s="64">
        <v>2524.7399999999998</v>
      </c>
      <c r="K33" s="64">
        <v>1063.08</v>
      </c>
      <c r="L33" s="61"/>
      <c r="M33" s="62"/>
    </row>
    <row r="34" spans="1:13" x14ac:dyDescent="0.25">
      <c r="A34" s="253" t="s">
        <v>288</v>
      </c>
      <c r="B34" s="253"/>
      <c r="C34" s="253"/>
      <c r="D34" s="253"/>
      <c r="E34" s="247">
        <v>1594.58</v>
      </c>
      <c r="F34" s="247"/>
      <c r="G34" s="63"/>
      <c r="H34" s="61"/>
      <c r="I34" s="62"/>
      <c r="J34" s="63"/>
      <c r="K34" s="64">
        <v>1594.58</v>
      </c>
      <c r="L34" s="61"/>
      <c r="M34" s="62"/>
    </row>
    <row r="35" spans="1:13" x14ac:dyDescent="0.25">
      <c r="A35" s="253" t="s">
        <v>289</v>
      </c>
      <c r="B35" s="253"/>
      <c r="C35" s="253"/>
      <c r="D35" s="253"/>
      <c r="E35" s="247">
        <v>1195.94</v>
      </c>
      <c r="F35" s="247"/>
      <c r="G35" s="63"/>
      <c r="H35" s="61"/>
      <c r="I35" s="62"/>
      <c r="J35" s="65">
        <v>664.4</v>
      </c>
      <c r="K35" s="65">
        <v>531.54</v>
      </c>
      <c r="L35" s="61"/>
      <c r="M35" s="62"/>
    </row>
    <row r="36" spans="1:13" x14ac:dyDescent="0.25">
      <c r="A36" s="253" t="s">
        <v>290</v>
      </c>
      <c r="B36" s="253"/>
      <c r="C36" s="253"/>
      <c r="D36" s="253"/>
      <c r="E36" s="247">
        <v>1009.92</v>
      </c>
      <c r="F36" s="247"/>
      <c r="G36" s="63"/>
      <c r="H36" s="61"/>
      <c r="I36" s="62"/>
      <c r="J36" s="65">
        <v>561.08000000000004</v>
      </c>
      <c r="K36" s="65">
        <v>448.84</v>
      </c>
      <c r="L36" s="61"/>
      <c r="M36" s="62"/>
    </row>
    <row r="37" spans="1:13" x14ac:dyDescent="0.25">
      <c r="A37" s="253" t="s">
        <v>291</v>
      </c>
      <c r="B37" s="253"/>
      <c r="C37" s="253"/>
      <c r="D37" s="253"/>
      <c r="E37" s="247">
        <v>2210.25</v>
      </c>
      <c r="F37" s="247"/>
      <c r="G37" s="63"/>
      <c r="H37" s="61"/>
      <c r="I37" s="62"/>
      <c r="J37" s="64">
        <v>2210.25</v>
      </c>
      <c r="K37" s="63"/>
      <c r="L37" s="61"/>
      <c r="M37" s="62"/>
    </row>
    <row r="38" spans="1:13" x14ac:dyDescent="0.25">
      <c r="A38" s="253" t="s">
        <v>292</v>
      </c>
      <c r="B38" s="253"/>
      <c r="C38" s="253"/>
      <c r="D38" s="253"/>
      <c r="E38" s="61"/>
      <c r="F38" s="62"/>
      <c r="G38" s="63"/>
      <c r="H38" s="247">
        <v>1001400</v>
      </c>
      <c r="I38" s="247"/>
      <c r="J38" s="64">
        <v>1001400</v>
      </c>
      <c r="K38" s="63"/>
      <c r="L38" s="61"/>
      <c r="M38" s="62"/>
    </row>
    <row r="39" spans="1:13" x14ac:dyDescent="0.25">
      <c r="A39" s="253" t="s">
        <v>293</v>
      </c>
      <c r="B39" s="253"/>
      <c r="C39" s="253"/>
      <c r="D39" s="253"/>
      <c r="E39" s="61"/>
      <c r="F39" s="62"/>
      <c r="G39" s="63"/>
      <c r="H39" s="247">
        <v>3900</v>
      </c>
      <c r="I39" s="247"/>
      <c r="J39" s="64">
        <v>3900</v>
      </c>
      <c r="K39" s="63"/>
      <c r="L39" s="61"/>
      <c r="M39" s="62"/>
    </row>
    <row r="40" spans="1:13" x14ac:dyDescent="0.25">
      <c r="A40" s="253" t="s">
        <v>294</v>
      </c>
      <c r="B40" s="253"/>
      <c r="C40" s="253"/>
      <c r="D40" s="253"/>
      <c r="E40" s="250">
        <v>249.49</v>
      </c>
      <c r="F40" s="250"/>
      <c r="G40" s="63"/>
      <c r="H40" s="61"/>
      <c r="I40" s="62"/>
      <c r="J40" s="63"/>
      <c r="K40" s="65">
        <v>249.49</v>
      </c>
      <c r="L40" s="61"/>
      <c r="M40" s="62"/>
    </row>
    <row r="41" spans="1:13" x14ac:dyDescent="0.25">
      <c r="A41" s="253" t="s">
        <v>295</v>
      </c>
      <c r="B41" s="253"/>
      <c r="C41" s="253"/>
      <c r="D41" s="253"/>
      <c r="E41" s="61"/>
      <c r="F41" s="62"/>
      <c r="G41" s="63"/>
      <c r="H41" s="247">
        <v>8066.68</v>
      </c>
      <c r="I41" s="247"/>
      <c r="J41" s="64">
        <v>8066.68</v>
      </c>
      <c r="K41" s="63"/>
      <c r="L41" s="61"/>
      <c r="M41" s="62"/>
    </row>
    <row r="42" spans="1:13" x14ac:dyDescent="0.25">
      <c r="A42" s="253" t="s">
        <v>296</v>
      </c>
      <c r="B42" s="253"/>
      <c r="C42" s="253"/>
      <c r="D42" s="253"/>
      <c r="E42" s="61"/>
      <c r="F42" s="62"/>
      <c r="G42" s="63"/>
      <c r="H42" s="247">
        <v>43750</v>
      </c>
      <c r="I42" s="247"/>
      <c r="J42" s="64">
        <v>43750</v>
      </c>
      <c r="K42" s="63"/>
      <c r="L42" s="61"/>
      <c r="M42" s="62"/>
    </row>
    <row r="43" spans="1:13" x14ac:dyDescent="0.25">
      <c r="A43" s="253" t="s">
        <v>297</v>
      </c>
      <c r="B43" s="253"/>
      <c r="C43" s="253"/>
      <c r="D43" s="253"/>
      <c r="E43" s="61"/>
      <c r="F43" s="62"/>
      <c r="G43" s="63"/>
      <c r="H43" s="247">
        <v>4020</v>
      </c>
      <c r="I43" s="247"/>
      <c r="J43" s="64">
        <v>4020</v>
      </c>
      <c r="K43" s="63"/>
      <c r="L43" s="61"/>
      <c r="M43" s="62"/>
    </row>
    <row r="44" spans="1:13" x14ac:dyDescent="0.25">
      <c r="A44" s="253" t="s">
        <v>298</v>
      </c>
      <c r="B44" s="253"/>
      <c r="C44" s="253"/>
      <c r="D44" s="253"/>
      <c r="E44" s="61"/>
      <c r="F44" s="62"/>
      <c r="G44" s="63"/>
      <c r="H44" s="247">
        <v>9120</v>
      </c>
      <c r="I44" s="247"/>
      <c r="J44" s="64">
        <v>9120</v>
      </c>
      <c r="K44" s="63"/>
      <c r="L44" s="61"/>
      <c r="M44" s="62"/>
    </row>
    <row r="45" spans="1:13" x14ac:dyDescent="0.25">
      <c r="A45" s="253" t="s">
        <v>299</v>
      </c>
      <c r="B45" s="253"/>
      <c r="C45" s="253"/>
      <c r="D45" s="253"/>
      <c r="E45" s="61"/>
      <c r="F45" s="62"/>
      <c r="G45" s="63"/>
      <c r="H45" s="250">
        <v>100</v>
      </c>
      <c r="I45" s="250"/>
      <c r="J45" s="65">
        <v>100</v>
      </c>
      <c r="K45" s="63"/>
      <c r="L45" s="61"/>
      <c r="M45" s="62"/>
    </row>
    <row r="46" spans="1:13" x14ac:dyDescent="0.25">
      <c r="A46" s="253" t="s">
        <v>300</v>
      </c>
      <c r="B46" s="253"/>
      <c r="C46" s="253"/>
      <c r="D46" s="253"/>
      <c r="E46" s="61"/>
      <c r="F46" s="62"/>
      <c r="G46" s="63"/>
      <c r="H46" s="250">
        <v>400</v>
      </c>
      <c r="I46" s="250"/>
      <c r="J46" s="65">
        <v>400</v>
      </c>
      <c r="K46" s="63"/>
      <c r="L46" s="61"/>
      <c r="M46" s="62"/>
    </row>
    <row r="47" spans="1:13" x14ac:dyDescent="0.25">
      <c r="A47" s="253" t="s">
        <v>301</v>
      </c>
      <c r="B47" s="253"/>
      <c r="C47" s="253"/>
      <c r="D47" s="253"/>
      <c r="E47" s="61"/>
      <c r="F47" s="62"/>
      <c r="G47" s="63"/>
      <c r="H47" s="247">
        <v>12155.92</v>
      </c>
      <c r="I47" s="247"/>
      <c r="J47" s="64">
        <v>12155.92</v>
      </c>
      <c r="K47" s="63"/>
      <c r="L47" s="61"/>
      <c r="M47" s="62"/>
    </row>
    <row r="48" spans="1:13" x14ac:dyDescent="0.25">
      <c r="A48" s="253" t="s">
        <v>302</v>
      </c>
      <c r="B48" s="253"/>
      <c r="C48" s="253"/>
      <c r="D48" s="253"/>
      <c r="E48" s="61"/>
      <c r="F48" s="62"/>
      <c r="G48" s="63"/>
      <c r="H48" s="247">
        <v>1920</v>
      </c>
      <c r="I48" s="247"/>
      <c r="J48" s="64">
        <v>1920</v>
      </c>
      <c r="K48" s="63"/>
      <c r="L48" s="61"/>
      <c r="M48" s="62"/>
    </row>
    <row r="49" spans="1:13" x14ac:dyDescent="0.25">
      <c r="A49" s="253" t="s">
        <v>303</v>
      </c>
      <c r="B49" s="253"/>
      <c r="C49" s="253"/>
      <c r="D49" s="253"/>
      <c r="E49" s="61"/>
      <c r="F49" s="62"/>
      <c r="G49" s="63"/>
      <c r="H49" s="250">
        <v>730</v>
      </c>
      <c r="I49" s="250"/>
      <c r="J49" s="65">
        <v>730</v>
      </c>
      <c r="K49" s="63"/>
      <c r="L49" s="61"/>
      <c r="M49" s="62"/>
    </row>
    <row r="50" spans="1:13" x14ac:dyDescent="0.25">
      <c r="A50" s="253" t="s">
        <v>304</v>
      </c>
      <c r="B50" s="253"/>
      <c r="C50" s="253"/>
      <c r="D50" s="253"/>
      <c r="E50" s="61"/>
      <c r="F50" s="62"/>
      <c r="G50" s="63"/>
      <c r="H50" s="247">
        <v>3875</v>
      </c>
      <c r="I50" s="247"/>
      <c r="J50" s="64">
        <v>3875</v>
      </c>
      <c r="K50" s="63"/>
      <c r="L50" s="61"/>
      <c r="M50" s="62"/>
    </row>
    <row r="51" spans="1:13" x14ac:dyDescent="0.25">
      <c r="A51" s="253" t="s">
        <v>305</v>
      </c>
      <c r="B51" s="253"/>
      <c r="C51" s="253"/>
      <c r="D51" s="253"/>
      <c r="E51" s="61"/>
      <c r="F51" s="62"/>
      <c r="G51" s="63"/>
      <c r="H51" s="247">
        <v>8961.66</v>
      </c>
      <c r="I51" s="247"/>
      <c r="J51" s="64">
        <v>8961.66</v>
      </c>
      <c r="K51" s="63"/>
      <c r="L51" s="61"/>
      <c r="M51" s="62"/>
    </row>
    <row r="52" spans="1:13" x14ac:dyDescent="0.25">
      <c r="A52" s="253" t="s">
        <v>306</v>
      </c>
      <c r="B52" s="253"/>
      <c r="C52" s="253"/>
      <c r="D52" s="253"/>
      <c r="E52" s="61"/>
      <c r="F52" s="62"/>
      <c r="G52" s="63"/>
      <c r="H52" s="247">
        <v>37200.800000000003</v>
      </c>
      <c r="I52" s="247"/>
      <c r="J52" s="64">
        <v>37200.800000000003</v>
      </c>
      <c r="K52" s="63"/>
      <c r="L52" s="61"/>
      <c r="M52" s="62"/>
    </row>
    <row r="53" spans="1:13" x14ac:dyDescent="0.25">
      <c r="A53" s="253" t="s">
        <v>307</v>
      </c>
      <c r="B53" s="253"/>
      <c r="C53" s="253"/>
      <c r="D53" s="253"/>
      <c r="E53" s="61"/>
      <c r="F53" s="62"/>
      <c r="G53" s="63"/>
      <c r="H53" s="247">
        <v>9915</v>
      </c>
      <c r="I53" s="247"/>
      <c r="J53" s="64">
        <v>9915</v>
      </c>
      <c r="K53" s="63"/>
      <c r="L53" s="61"/>
      <c r="M53" s="62"/>
    </row>
    <row r="54" spans="1:13" x14ac:dyDescent="0.25">
      <c r="A54" s="253" t="s">
        <v>308</v>
      </c>
      <c r="B54" s="253"/>
      <c r="C54" s="253"/>
      <c r="D54" s="253"/>
      <c r="E54" s="61"/>
      <c r="F54" s="62"/>
      <c r="G54" s="63"/>
      <c r="H54" s="247">
        <v>15421</v>
      </c>
      <c r="I54" s="247"/>
      <c r="J54" s="64">
        <v>10601.9</v>
      </c>
      <c r="K54" s="64">
        <v>4819.1000000000004</v>
      </c>
      <c r="L54" s="61"/>
      <c r="M54" s="62"/>
    </row>
    <row r="55" spans="1:13" x14ac:dyDescent="0.25">
      <c r="A55" s="253" t="s">
        <v>309</v>
      </c>
      <c r="B55" s="253"/>
      <c r="C55" s="253"/>
      <c r="D55" s="253"/>
      <c r="E55" s="250">
        <v>257.70999999999998</v>
      </c>
      <c r="F55" s="250"/>
      <c r="G55" s="63"/>
      <c r="H55" s="61"/>
      <c r="I55" s="62"/>
      <c r="J55" s="63"/>
      <c r="K55" s="65">
        <v>257.70999999999998</v>
      </c>
      <c r="L55" s="61"/>
      <c r="M55" s="62"/>
    </row>
    <row r="56" spans="1:13" x14ac:dyDescent="0.25">
      <c r="A56" s="253" t="s">
        <v>310</v>
      </c>
      <c r="B56" s="253"/>
      <c r="C56" s="253"/>
      <c r="D56" s="253"/>
      <c r="E56" s="61"/>
      <c r="F56" s="62"/>
      <c r="G56" s="63"/>
      <c r="H56" s="250">
        <v>320</v>
      </c>
      <c r="I56" s="250"/>
      <c r="J56" s="65">
        <v>320</v>
      </c>
      <c r="K56" s="63"/>
      <c r="L56" s="61"/>
      <c r="M56" s="62"/>
    </row>
    <row r="57" spans="1:13" x14ac:dyDescent="0.25">
      <c r="A57" s="253" t="s">
        <v>311</v>
      </c>
      <c r="B57" s="253"/>
      <c r="C57" s="253"/>
      <c r="D57" s="253"/>
      <c r="E57" s="61"/>
      <c r="F57" s="62"/>
      <c r="G57" s="63"/>
      <c r="H57" s="250">
        <v>800</v>
      </c>
      <c r="I57" s="250"/>
      <c r="J57" s="65">
        <v>800</v>
      </c>
      <c r="K57" s="63"/>
      <c r="L57" s="61"/>
      <c r="M57" s="62"/>
    </row>
    <row r="58" spans="1:13" x14ac:dyDescent="0.25">
      <c r="A58" s="253" t="s">
        <v>312</v>
      </c>
      <c r="B58" s="253"/>
      <c r="C58" s="253"/>
      <c r="D58" s="253"/>
      <c r="E58" s="61"/>
      <c r="F58" s="62"/>
      <c r="G58" s="63"/>
      <c r="H58" s="247">
        <v>46900</v>
      </c>
      <c r="I58" s="247"/>
      <c r="J58" s="64">
        <v>32243.73</v>
      </c>
      <c r="K58" s="64">
        <v>14656.27</v>
      </c>
      <c r="L58" s="61"/>
      <c r="M58" s="62"/>
    </row>
    <row r="59" spans="1:13" x14ac:dyDescent="0.25">
      <c r="A59" s="253" t="s">
        <v>313</v>
      </c>
      <c r="B59" s="253"/>
      <c r="C59" s="253"/>
      <c r="D59" s="253"/>
      <c r="E59" s="61"/>
      <c r="F59" s="62"/>
      <c r="G59" s="63"/>
      <c r="H59" s="247">
        <v>46900</v>
      </c>
      <c r="I59" s="247"/>
      <c r="J59" s="64">
        <v>32243.73</v>
      </c>
      <c r="K59" s="64">
        <v>14656.27</v>
      </c>
      <c r="L59" s="61"/>
      <c r="M59" s="62"/>
    </row>
    <row r="60" spans="1:13" x14ac:dyDescent="0.25">
      <c r="A60" s="253" t="s">
        <v>314</v>
      </c>
      <c r="B60" s="253"/>
      <c r="C60" s="253"/>
      <c r="D60" s="253"/>
      <c r="E60" s="61"/>
      <c r="F60" s="62"/>
      <c r="G60" s="63"/>
      <c r="H60" s="247">
        <v>51920</v>
      </c>
      <c r="I60" s="247"/>
      <c r="J60" s="64">
        <v>35694.959999999999</v>
      </c>
      <c r="K60" s="64">
        <v>16225.04</v>
      </c>
      <c r="L60" s="61"/>
      <c r="M60" s="62"/>
    </row>
    <row r="61" spans="1:13" x14ac:dyDescent="0.25">
      <c r="A61" s="253" t="s">
        <v>315</v>
      </c>
      <c r="B61" s="253"/>
      <c r="C61" s="253"/>
      <c r="D61" s="253"/>
      <c r="E61" s="61"/>
      <c r="F61" s="62"/>
      <c r="G61" s="63"/>
      <c r="H61" s="247">
        <v>51920</v>
      </c>
      <c r="I61" s="247"/>
      <c r="J61" s="64">
        <v>35694.959999999999</v>
      </c>
      <c r="K61" s="64">
        <v>16225.04</v>
      </c>
      <c r="L61" s="61"/>
      <c r="M61" s="62"/>
    </row>
    <row r="62" spans="1:13" x14ac:dyDescent="0.25">
      <c r="A62" s="253" t="s">
        <v>316</v>
      </c>
      <c r="B62" s="253"/>
      <c r="C62" s="253"/>
      <c r="D62" s="253"/>
      <c r="E62" s="61"/>
      <c r="F62" s="62"/>
      <c r="G62" s="63"/>
      <c r="H62" s="247">
        <v>25960</v>
      </c>
      <c r="I62" s="247"/>
      <c r="J62" s="64">
        <v>17847.48</v>
      </c>
      <c r="K62" s="64">
        <v>8112.52</v>
      </c>
      <c r="L62" s="61"/>
      <c r="M62" s="62"/>
    </row>
    <row r="63" spans="1:13" x14ac:dyDescent="0.25">
      <c r="A63" s="253" t="s">
        <v>317</v>
      </c>
      <c r="B63" s="253"/>
      <c r="C63" s="253"/>
      <c r="D63" s="253"/>
      <c r="E63" s="250">
        <v>610.16999999999996</v>
      </c>
      <c r="F63" s="250"/>
      <c r="G63" s="63"/>
      <c r="H63" s="61"/>
      <c r="I63" s="62"/>
      <c r="J63" s="63"/>
      <c r="K63" s="65">
        <v>610.16999999999996</v>
      </c>
      <c r="L63" s="61"/>
      <c r="M63" s="62"/>
    </row>
    <row r="64" spans="1:13" x14ac:dyDescent="0.25">
      <c r="A64" s="253" t="s">
        <v>318</v>
      </c>
      <c r="B64" s="253"/>
      <c r="C64" s="253"/>
      <c r="D64" s="253"/>
      <c r="E64" s="247">
        <v>2222.33</v>
      </c>
      <c r="F64" s="247"/>
      <c r="G64" s="63"/>
      <c r="H64" s="61"/>
      <c r="I64" s="62"/>
      <c r="J64" s="63"/>
      <c r="K64" s="64">
        <v>2222.33</v>
      </c>
      <c r="L64" s="61"/>
      <c r="M64" s="62"/>
    </row>
    <row r="65" spans="1:13" x14ac:dyDescent="0.25">
      <c r="A65" s="253" t="s">
        <v>319</v>
      </c>
      <c r="B65" s="253"/>
      <c r="C65" s="253"/>
      <c r="D65" s="253"/>
      <c r="E65" s="61"/>
      <c r="F65" s="62"/>
      <c r="G65" s="63"/>
      <c r="H65" s="250">
        <v>128</v>
      </c>
      <c r="I65" s="250"/>
      <c r="J65" s="65">
        <v>128</v>
      </c>
      <c r="K65" s="63"/>
      <c r="L65" s="61"/>
      <c r="M65" s="62"/>
    </row>
    <row r="66" spans="1:13" x14ac:dyDescent="0.25">
      <c r="A66" s="253" t="s">
        <v>320</v>
      </c>
      <c r="B66" s="253"/>
      <c r="C66" s="253"/>
      <c r="D66" s="253"/>
      <c r="E66" s="61"/>
      <c r="F66" s="62"/>
      <c r="G66" s="63"/>
      <c r="H66" s="247">
        <v>1260</v>
      </c>
      <c r="I66" s="247"/>
      <c r="J66" s="64">
        <v>1260</v>
      </c>
      <c r="K66" s="63"/>
      <c r="L66" s="61"/>
      <c r="M66" s="62"/>
    </row>
    <row r="67" spans="1:13" x14ac:dyDescent="0.25">
      <c r="A67" s="253" t="s">
        <v>321</v>
      </c>
      <c r="B67" s="253"/>
      <c r="C67" s="253"/>
      <c r="D67" s="253"/>
      <c r="E67" s="61"/>
      <c r="F67" s="62"/>
      <c r="G67" s="63"/>
      <c r="H67" s="247">
        <v>2872</v>
      </c>
      <c r="I67" s="247"/>
      <c r="J67" s="64">
        <v>2872</v>
      </c>
      <c r="K67" s="63"/>
      <c r="L67" s="61"/>
      <c r="M67" s="62"/>
    </row>
    <row r="68" spans="1:13" x14ac:dyDescent="0.25">
      <c r="A68" s="253" t="s">
        <v>322</v>
      </c>
      <c r="B68" s="253"/>
      <c r="C68" s="253"/>
      <c r="D68" s="253"/>
      <c r="E68" s="61"/>
      <c r="F68" s="62"/>
      <c r="G68" s="63"/>
      <c r="H68" s="250">
        <v>350</v>
      </c>
      <c r="I68" s="250"/>
      <c r="J68" s="65">
        <v>350</v>
      </c>
      <c r="K68" s="63"/>
      <c r="L68" s="61"/>
      <c r="M68" s="62"/>
    </row>
    <row r="69" spans="1:13" x14ac:dyDescent="0.25">
      <c r="A69" s="253" t="s">
        <v>323</v>
      </c>
      <c r="B69" s="253"/>
      <c r="C69" s="253"/>
      <c r="D69" s="253"/>
      <c r="E69" s="247">
        <v>2110.29</v>
      </c>
      <c r="F69" s="247"/>
      <c r="G69" s="63"/>
      <c r="H69" s="61"/>
      <c r="I69" s="62"/>
      <c r="J69" s="65">
        <v>703.4</v>
      </c>
      <c r="K69" s="64">
        <v>1406.89</v>
      </c>
      <c r="L69" s="61"/>
      <c r="M69" s="62"/>
    </row>
    <row r="70" spans="1:13" x14ac:dyDescent="0.25">
      <c r="A70" s="253" t="s">
        <v>324</v>
      </c>
      <c r="B70" s="253"/>
      <c r="C70" s="253"/>
      <c r="D70" s="253"/>
      <c r="E70" s="247">
        <v>1580.69</v>
      </c>
      <c r="F70" s="247"/>
      <c r="G70" s="63"/>
      <c r="H70" s="61"/>
      <c r="I70" s="62"/>
      <c r="J70" s="65">
        <v>526.9</v>
      </c>
      <c r="K70" s="64">
        <v>1053.79</v>
      </c>
      <c r="L70" s="61"/>
      <c r="M70" s="62"/>
    </row>
    <row r="71" spans="1:13" x14ac:dyDescent="0.25">
      <c r="A71" s="253" t="s">
        <v>325</v>
      </c>
      <c r="B71" s="253"/>
      <c r="C71" s="253"/>
      <c r="D71" s="253"/>
      <c r="E71" s="247">
        <v>7903.45</v>
      </c>
      <c r="F71" s="247"/>
      <c r="G71" s="63"/>
      <c r="H71" s="61"/>
      <c r="I71" s="62"/>
      <c r="J71" s="64">
        <v>3688.29</v>
      </c>
      <c r="K71" s="64">
        <v>4215.16</v>
      </c>
      <c r="L71" s="61"/>
      <c r="M71" s="62"/>
    </row>
    <row r="72" spans="1:13" x14ac:dyDescent="0.25">
      <c r="A72" s="253" t="s">
        <v>326</v>
      </c>
      <c r="B72" s="253"/>
      <c r="C72" s="253"/>
      <c r="D72" s="253"/>
      <c r="E72" s="247">
        <v>3477.52</v>
      </c>
      <c r="F72" s="247"/>
      <c r="G72" s="63"/>
      <c r="H72" s="61"/>
      <c r="I72" s="62"/>
      <c r="J72" s="65">
        <v>526.9</v>
      </c>
      <c r="K72" s="64">
        <v>2950.62</v>
      </c>
      <c r="L72" s="61"/>
      <c r="M72" s="62"/>
    </row>
    <row r="73" spans="1:13" x14ac:dyDescent="0.25">
      <c r="A73" s="253" t="s">
        <v>327</v>
      </c>
      <c r="B73" s="253"/>
      <c r="C73" s="253"/>
      <c r="D73" s="253"/>
      <c r="E73" s="61"/>
      <c r="F73" s="62"/>
      <c r="G73" s="63"/>
      <c r="H73" s="247">
        <v>36506.800000000003</v>
      </c>
      <c r="I73" s="247"/>
      <c r="J73" s="64">
        <v>25098.44</v>
      </c>
      <c r="K73" s="64">
        <v>11408.36</v>
      </c>
      <c r="L73" s="61"/>
      <c r="M73" s="62"/>
    </row>
    <row r="74" spans="1:13" x14ac:dyDescent="0.25">
      <c r="A74" s="253" t="s">
        <v>328</v>
      </c>
      <c r="B74" s="253"/>
      <c r="C74" s="253"/>
      <c r="D74" s="253"/>
      <c r="E74" s="61"/>
      <c r="F74" s="62"/>
      <c r="G74" s="63"/>
      <c r="H74" s="247">
        <v>36506.800000000003</v>
      </c>
      <c r="I74" s="247"/>
      <c r="J74" s="64">
        <v>25098.44</v>
      </c>
      <c r="K74" s="64">
        <v>11408.36</v>
      </c>
      <c r="L74" s="61"/>
      <c r="M74" s="62"/>
    </row>
    <row r="75" spans="1:13" x14ac:dyDescent="0.25">
      <c r="A75" s="253" t="s">
        <v>329</v>
      </c>
      <c r="B75" s="253"/>
      <c r="C75" s="253"/>
      <c r="D75" s="253"/>
      <c r="E75" s="61"/>
      <c r="F75" s="62"/>
      <c r="G75" s="63"/>
      <c r="H75" s="247">
        <v>18253.400000000001</v>
      </c>
      <c r="I75" s="247"/>
      <c r="J75" s="64">
        <v>12549.22</v>
      </c>
      <c r="K75" s="64">
        <v>5704.18</v>
      </c>
      <c r="L75" s="61"/>
      <c r="M75" s="62"/>
    </row>
    <row r="76" spans="1:13" x14ac:dyDescent="0.25">
      <c r="A76" s="253" t="s">
        <v>330</v>
      </c>
      <c r="B76" s="253"/>
      <c r="C76" s="253"/>
      <c r="D76" s="253"/>
      <c r="E76" s="61"/>
      <c r="F76" s="62"/>
      <c r="G76" s="63"/>
      <c r="H76" s="247">
        <v>15570.24</v>
      </c>
      <c r="I76" s="247"/>
      <c r="J76" s="64">
        <v>10704.54</v>
      </c>
      <c r="K76" s="64">
        <v>4865.7</v>
      </c>
      <c r="L76" s="61"/>
      <c r="M76" s="62"/>
    </row>
    <row r="77" spans="1:13" x14ac:dyDescent="0.25">
      <c r="A77" s="253" t="s">
        <v>331</v>
      </c>
      <c r="B77" s="253"/>
      <c r="C77" s="253"/>
      <c r="D77" s="253"/>
      <c r="E77" s="61"/>
      <c r="F77" s="62"/>
      <c r="G77" s="63"/>
      <c r="H77" s="247">
        <v>15570.24</v>
      </c>
      <c r="I77" s="247"/>
      <c r="J77" s="64">
        <v>10704.54</v>
      </c>
      <c r="K77" s="64">
        <v>4865.7</v>
      </c>
      <c r="L77" s="61"/>
      <c r="M77" s="62"/>
    </row>
    <row r="78" spans="1:13" x14ac:dyDescent="0.25">
      <c r="A78" s="253" t="s">
        <v>332</v>
      </c>
      <c r="B78" s="253"/>
      <c r="C78" s="253"/>
      <c r="D78" s="253"/>
      <c r="E78" s="61"/>
      <c r="F78" s="62"/>
      <c r="G78" s="63"/>
      <c r="H78" s="247">
        <v>15570.24</v>
      </c>
      <c r="I78" s="247"/>
      <c r="J78" s="64">
        <v>10542.35</v>
      </c>
      <c r="K78" s="64">
        <v>5027.8900000000003</v>
      </c>
      <c r="L78" s="61"/>
      <c r="M78" s="62"/>
    </row>
    <row r="79" spans="1:13" x14ac:dyDescent="0.25">
      <c r="A79" s="253" t="s">
        <v>333</v>
      </c>
      <c r="B79" s="253"/>
      <c r="C79" s="253"/>
      <c r="D79" s="253"/>
      <c r="E79" s="250">
        <v>553.48</v>
      </c>
      <c r="F79" s="250"/>
      <c r="G79" s="63"/>
      <c r="H79" s="61"/>
      <c r="I79" s="62"/>
      <c r="J79" s="63"/>
      <c r="K79" s="65">
        <v>553.48</v>
      </c>
      <c r="L79" s="61"/>
      <c r="M79" s="62"/>
    </row>
    <row r="80" spans="1:13" x14ac:dyDescent="0.25">
      <c r="A80" s="253" t="s">
        <v>334</v>
      </c>
      <c r="B80" s="253"/>
      <c r="C80" s="253"/>
      <c r="D80" s="253"/>
      <c r="E80" s="61"/>
      <c r="F80" s="62"/>
      <c r="G80" s="63"/>
      <c r="H80" s="247">
        <v>6000</v>
      </c>
      <c r="I80" s="247"/>
      <c r="J80" s="64">
        <v>6000</v>
      </c>
      <c r="K80" s="63"/>
      <c r="L80" s="61"/>
      <c r="M80" s="62"/>
    </row>
    <row r="81" spans="1:13" x14ac:dyDescent="0.25">
      <c r="A81" s="253" t="s">
        <v>335</v>
      </c>
      <c r="B81" s="253"/>
      <c r="C81" s="253"/>
      <c r="D81" s="253"/>
      <c r="E81" s="61"/>
      <c r="F81" s="62"/>
      <c r="G81" s="63"/>
      <c r="H81" s="247">
        <v>9000</v>
      </c>
      <c r="I81" s="247"/>
      <c r="J81" s="64">
        <v>9000</v>
      </c>
      <c r="K81" s="63"/>
      <c r="L81" s="61"/>
      <c r="M81" s="62"/>
    </row>
    <row r="82" spans="1:13" x14ac:dyDescent="0.25">
      <c r="A82" s="253" t="s">
        <v>336</v>
      </c>
      <c r="B82" s="253"/>
      <c r="C82" s="253"/>
      <c r="D82" s="253"/>
      <c r="E82" s="61"/>
      <c r="F82" s="62"/>
      <c r="G82" s="63"/>
      <c r="H82" s="250">
        <v>340</v>
      </c>
      <c r="I82" s="250"/>
      <c r="J82" s="65">
        <v>340</v>
      </c>
      <c r="K82" s="63"/>
      <c r="L82" s="61"/>
      <c r="M82" s="62"/>
    </row>
    <row r="83" spans="1:13" x14ac:dyDescent="0.25">
      <c r="A83" s="253" t="s">
        <v>337</v>
      </c>
      <c r="B83" s="253"/>
      <c r="C83" s="253"/>
      <c r="D83" s="253"/>
      <c r="E83" s="61"/>
      <c r="F83" s="62"/>
      <c r="G83" s="63"/>
      <c r="H83" s="250">
        <v>264</v>
      </c>
      <c r="I83" s="250"/>
      <c r="J83" s="65">
        <v>264</v>
      </c>
      <c r="K83" s="63"/>
      <c r="L83" s="61"/>
      <c r="M83" s="62"/>
    </row>
    <row r="84" spans="1:13" x14ac:dyDescent="0.25">
      <c r="A84" s="253" t="s">
        <v>338</v>
      </c>
      <c r="B84" s="253"/>
      <c r="C84" s="253"/>
      <c r="D84" s="253"/>
      <c r="E84" s="61"/>
      <c r="F84" s="62"/>
      <c r="G84" s="63"/>
      <c r="H84" s="250">
        <v>52</v>
      </c>
      <c r="I84" s="250"/>
      <c r="J84" s="65">
        <v>52</v>
      </c>
      <c r="K84" s="63"/>
      <c r="L84" s="61"/>
      <c r="M84" s="62"/>
    </row>
    <row r="85" spans="1:13" x14ac:dyDescent="0.25">
      <c r="A85" s="253" t="s">
        <v>339</v>
      </c>
      <c r="B85" s="253"/>
      <c r="C85" s="253"/>
      <c r="D85" s="253"/>
      <c r="E85" s="250">
        <v>498.44</v>
      </c>
      <c r="F85" s="250"/>
      <c r="G85" s="63"/>
      <c r="H85" s="61"/>
      <c r="I85" s="62"/>
      <c r="J85" s="65">
        <v>276.89999999999998</v>
      </c>
      <c r="K85" s="65">
        <v>221.54</v>
      </c>
      <c r="L85" s="61"/>
      <c r="M85" s="62"/>
    </row>
    <row r="86" spans="1:13" x14ac:dyDescent="0.25">
      <c r="A86" s="253" t="s">
        <v>340</v>
      </c>
      <c r="B86" s="253"/>
      <c r="C86" s="253"/>
      <c r="D86" s="253"/>
      <c r="E86" s="247">
        <v>3655.22</v>
      </c>
      <c r="F86" s="247"/>
      <c r="G86" s="63"/>
      <c r="H86" s="61"/>
      <c r="I86" s="62"/>
      <c r="J86" s="64">
        <v>1882.94</v>
      </c>
      <c r="K86" s="64">
        <v>1772.28</v>
      </c>
      <c r="L86" s="61"/>
      <c r="M86" s="62"/>
    </row>
    <row r="87" spans="1:13" x14ac:dyDescent="0.25">
      <c r="A87" s="253" t="s">
        <v>341</v>
      </c>
      <c r="B87" s="253"/>
      <c r="C87" s="253"/>
      <c r="D87" s="253"/>
      <c r="E87" s="61"/>
      <c r="F87" s="62"/>
      <c r="G87" s="63"/>
      <c r="H87" s="250">
        <v>100</v>
      </c>
      <c r="I87" s="250"/>
      <c r="J87" s="65">
        <v>100</v>
      </c>
      <c r="K87" s="63"/>
      <c r="L87" s="61"/>
      <c r="M87" s="62"/>
    </row>
    <row r="88" spans="1:13" x14ac:dyDescent="0.25">
      <c r="A88" s="253" t="s">
        <v>342</v>
      </c>
      <c r="B88" s="253"/>
      <c r="C88" s="253"/>
      <c r="D88" s="253"/>
      <c r="E88" s="61"/>
      <c r="F88" s="62"/>
      <c r="G88" s="63"/>
      <c r="H88" s="250">
        <v>180</v>
      </c>
      <c r="I88" s="250"/>
      <c r="J88" s="65">
        <v>180</v>
      </c>
      <c r="K88" s="63"/>
      <c r="L88" s="61"/>
      <c r="M88" s="62"/>
    </row>
    <row r="89" spans="1:13" x14ac:dyDescent="0.25">
      <c r="A89" s="253" t="s">
        <v>343</v>
      </c>
      <c r="B89" s="253"/>
      <c r="C89" s="253"/>
      <c r="D89" s="253"/>
      <c r="E89" s="61"/>
      <c r="F89" s="62"/>
      <c r="G89" s="63"/>
      <c r="H89" s="247">
        <v>19548</v>
      </c>
      <c r="I89" s="247"/>
      <c r="J89" s="64">
        <v>19548</v>
      </c>
      <c r="K89" s="63"/>
      <c r="L89" s="61"/>
      <c r="M89" s="62"/>
    </row>
    <row r="90" spans="1:13" x14ac:dyDescent="0.25">
      <c r="A90" s="253" t="s">
        <v>344</v>
      </c>
      <c r="B90" s="253"/>
      <c r="C90" s="253"/>
      <c r="D90" s="253"/>
      <c r="E90" s="61"/>
      <c r="F90" s="62"/>
      <c r="G90" s="63"/>
      <c r="H90" s="247">
        <v>8700</v>
      </c>
      <c r="I90" s="247"/>
      <c r="J90" s="64">
        <v>8700</v>
      </c>
      <c r="K90" s="63"/>
      <c r="L90" s="61"/>
      <c r="M90" s="62"/>
    </row>
    <row r="91" spans="1:13" x14ac:dyDescent="0.25">
      <c r="A91" s="253" t="s">
        <v>345</v>
      </c>
      <c r="B91" s="253"/>
      <c r="C91" s="253"/>
      <c r="D91" s="253"/>
      <c r="E91" s="61"/>
      <c r="F91" s="62"/>
      <c r="G91" s="63"/>
      <c r="H91" s="247">
        <v>6194.5</v>
      </c>
      <c r="I91" s="247"/>
      <c r="J91" s="64">
        <v>4258.7</v>
      </c>
      <c r="K91" s="64">
        <v>1935.8</v>
      </c>
      <c r="L91" s="61"/>
      <c r="M91" s="62"/>
    </row>
    <row r="92" spans="1:13" x14ac:dyDescent="0.25">
      <c r="A92" s="253" t="s">
        <v>346</v>
      </c>
      <c r="B92" s="253"/>
      <c r="C92" s="253"/>
      <c r="D92" s="253"/>
      <c r="E92" s="61"/>
      <c r="F92" s="62"/>
      <c r="G92" s="63"/>
      <c r="H92" s="247">
        <v>28654</v>
      </c>
      <c r="I92" s="247"/>
      <c r="J92" s="64">
        <v>19699.55</v>
      </c>
      <c r="K92" s="64">
        <v>8954.4500000000007</v>
      </c>
      <c r="L92" s="61"/>
      <c r="M92" s="62"/>
    </row>
    <row r="93" spans="1:13" x14ac:dyDescent="0.25">
      <c r="A93" s="253" t="s">
        <v>347</v>
      </c>
      <c r="B93" s="253"/>
      <c r="C93" s="253"/>
      <c r="D93" s="253"/>
      <c r="E93" s="61"/>
      <c r="F93" s="62"/>
      <c r="G93" s="63"/>
      <c r="H93" s="250">
        <v>800</v>
      </c>
      <c r="I93" s="250"/>
      <c r="J93" s="65">
        <v>800</v>
      </c>
      <c r="K93" s="63"/>
      <c r="L93" s="61"/>
      <c r="M93" s="62"/>
    </row>
    <row r="94" spans="1:13" x14ac:dyDescent="0.25">
      <c r="A94" s="253" t="s">
        <v>348</v>
      </c>
      <c r="B94" s="253"/>
      <c r="C94" s="253"/>
      <c r="D94" s="253"/>
      <c r="E94" s="247">
        <v>1362.08</v>
      </c>
      <c r="F94" s="247"/>
      <c r="G94" s="63"/>
      <c r="H94" s="61"/>
      <c r="I94" s="62"/>
      <c r="J94" s="63"/>
      <c r="K94" s="64">
        <v>1362.08</v>
      </c>
      <c r="L94" s="61"/>
      <c r="M94" s="62"/>
    </row>
    <row r="95" spans="1:13" x14ac:dyDescent="0.25">
      <c r="A95" s="253" t="s">
        <v>349</v>
      </c>
      <c r="B95" s="253"/>
      <c r="C95" s="253"/>
      <c r="D95" s="253"/>
      <c r="E95" s="61"/>
      <c r="F95" s="62"/>
      <c r="G95" s="63"/>
      <c r="H95" s="247">
        <v>3340</v>
      </c>
      <c r="I95" s="247"/>
      <c r="J95" s="64">
        <v>3340</v>
      </c>
      <c r="K95" s="63"/>
      <c r="L95" s="61"/>
      <c r="M95" s="62"/>
    </row>
    <row r="96" spans="1:13" x14ac:dyDescent="0.25">
      <c r="A96" s="253" t="s">
        <v>350</v>
      </c>
      <c r="B96" s="253"/>
      <c r="C96" s="253"/>
      <c r="D96" s="253"/>
      <c r="E96" s="61"/>
      <c r="F96" s="62"/>
      <c r="G96" s="63"/>
      <c r="H96" s="247">
        <v>160391.66</v>
      </c>
      <c r="I96" s="247"/>
      <c r="J96" s="64">
        <v>160391.66</v>
      </c>
      <c r="K96" s="63"/>
      <c r="L96" s="61"/>
      <c r="M96" s="62"/>
    </row>
    <row r="97" spans="1:13" x14ac:dyDescent="0.25">
      <c r="A97" s="253" t="s">
        <v>351</v>
      </c>
      <c r="B97" s="253"/>
      <c r="C97" s="253"/>
      <c r="D97" s="253"/>
      <c r="E97" s="61"/>
      <c r="F97" s="62"/>
      <c r="G97" s="63"/>
      <c r="H97" s="250">
        <v>870</v>
      </c>
      <c r="I97" s="250"/>
      <c r="J97" s="65">
        <v>870</v>
      </c>
      <c r="K97" s="63"/>
      <c r="L97" s="61"/>
      <c r="M97" s="62"/>
    </row>
    <row r="98" spans="1:13" x14ac:dyDescent="0.25">
      <c r="A98" s="253" t="s">
        <v>352</v>
      </c>
      <c r="B98" s="253"/>
      <c r="C98" s="253"/>
      <c r="D98" s="253"/>
      <c r="E98" s="61"/>
      <c r="F98" s="62"/>
      <c r="G98" s="63"/>
      <c r="H98" s="247">
        <v>1000</v>
      </c>
      <c r="I98" s="247"/>
      <c r="J98" s="64">
        <v>1000</v>
      </c>
      <c r="K98" s="63"/>
      <c r="L98" s="61"/>
      <c r="M98" s="62"/>
    </row>
    <row r="99" spans="1:13" x14ac:dyDescent="0.25">
      <c r="A99" s="253" t="s">
        <v>353</v>
      </c>
      <c r="B99" s="253"/>
      <c r="C99" s="253"/>
      <c r="D99" s="253"/>
      <c r="E99" s="61"/>
      <c r="F99" s="62"/>
      <c r="G99" s="63"/>
      <c r="H99" s="250">
        <v>224</v>
      </c>
      <c r="I99" s="250"/>
      <c r="J99" s="65">
        <v>224</v>
      </c>
      <c r="K99" s="63"/>
      <c r="L99" s="61"/>
      <c r="M99" s="62"/>
    </row>
    <row r="100" spans="1:13" x14ac:dyDescent="0.25">
      <c r="A100" s="253" t="s">
        <v>354</v>
      </c>
      <c r="B100" s="253"/>
      <c r="C100" s="253"/>
      <c r="D100" s="253"/>
      <c r="E100" s="61"/>
      <c r="F100" s="62"/>
      <c r="G100" s="63"/>
      <c r="H100" s="247">
        <v>19681.599999999999</v>
      </c>
      <c r="I100" s="247"/>
      <c r="J100" s="64">
        <v>13531.16</v>
      </c>
      <c r="K100" s="64">
        <v>6150.44</v>
      </c>
      <c r="L100" s="61"/>
      <c r="M100" s="62"/>
    </row>
    <row r="101" spans="1:13" x14ac:dyDescent="0.25">
      <c r="A101" s="253" t="s">
        <v>355</v>
      </c>
      <c r="B101" s="253"/>
      <c r="C101" s="253"/>
      <c r="D101" s="253"/>
      <c r="E101" s="61"/>
      <c r="F101" s="62"/>
      <c r="G101" s="63"/>
      <c r="H101" s="247">
        <v>9840.7999999999993</v>
      </c>
      <c r="I101" s="247"/>
      <c r="J101" s="64">
        <v>6765.58</v>
      </c>
      <c r="K101" s="64">
        <v>3075.22</v>
      </c>
      <c r="L101" s="61"/>
      <c r="M101" s="62"/>
    </row>
    <row r="102" spans="1:13" x14ac:dyDescent="0.25">
      <c r="A102" s="253" t="s">
        <v>356</v>
      </c>
      <c r="B102" s="253"/>
      <c r="C102" s="253"/>
      <c r="D102" s="253"/>
      <c r="E102" s="61"/>
      <c r="F102" s="62"/>
      <c r="G102" s="63"/>
      <c r="H102" s="247">
        <v>9840.7999999999993</v>
      </c>
      <c r="I102" s="247"/>
      <c r="J102" s="64">
        <v>6765.58</v>
      </c>
      <c r="K102" s="64">
        <v>3075.22</v>
      </c>
      <c r="L102" s="61"/>
      <c r="M102" s="62"/>
    </row>
    <row r="103" spans="1:13" x14ac:dyDescent="0.25">
      <c r="A103" s="253" t="s">
        <v>357</v>
      </c>
      <c r="B103" s="253"/>
      <c r="C103" s="253"/>
      <c r="D103" s="253"/>
      <c r="E103" s="61"/>
      <c r="F103" s="62"/>
      <c r="G103" s="63"/>
      <c r="H103" s="250">
        <v>472</v>
      </c>
      <c r="I103" s="250"/>
      <c r="J103" s="65">
        <v>472</v>
      </c>
      <c r="K103" s="63"/>
      <c r="L103" s="61"/>
      <c r="M103" s="62"/>
    </row>
    <row r="104" spans="1:13" x14ac:dyDescent="0.25">
      <c r="A104" s="253" t="s">
        <v>358</v>
      </c>
      <c r="B104" s="253"/>
      <c r="C104" s="253"/>
      <c r="D104" s="253"/>
      <c r="E104" s="61"/>
      <c r="F104" s="62"/>
      <c r="G104" s="63"/>
      <c r="H104" s="250">
        <v>275</v>
      </c>
      <c r="I104" s="250"/>
      <c r="J104" s="65">
        <v>275</v>
      </c>
      <c r="K104" s="63"/>
      <c r="L104" s="61"/>
      <c r="M104" s="62"/>
    </row>
    <row r="105" spans="1:13" x14ac:dyDescent="0.25">
      <c r="A105" s="253" t="s">
        <v>359</v>
      </c>
      <c r="B105" s="253"/>
      <c r="C105" s="253"/>
      <c r="D105" s="253"/>
      <c r="E105" s="61"/>
      <c r="F105" s="62"/>
      <c r="G105" s="63"/>
      <c r="H105" s="247">
        <v>5370</v>
      </c>
      <c r="I105" s="247"/>
      <c r="J105" s="64">
        <v>5370</v>
      </c>
      <c r="K105" s="63"/>
      <c r="L105" s="61"/>
      <c r="M105" s="62"/>
    </row>
    <row r="106" spans="1:13" x14ac:dyDescent="0.25">
      <c r="A106" s="253" t="s">
        <v>360</v>
      </c>
      <c r="B106" s="253"/>
      <c r="C106" s="253"/>
      <c r="D106" s="253"/>
      <c r="E106" s="61"/>
      <c r="F106" s="62"/>
      <c r="G106" s="63"/>
      <c r="H106" s="247">
        <v>141462</v>
      </c>
      <c r="I106" s="247"/>
      <c r="J106" s="64">
        <v>141462</v>
      </c>
      <c r="K106" s="63"/>
      <c r="L106" s="61"/>
      <c r="M106" s="62"/>
    </row>
    <row r="107" spans="1:13" x14ac:dyDescent="0.25">
      <c r="A107" s="253" t="s">
        <v>361</v>
      </c>
      <c r="B107" s="253"/>
      <c r="C107" s="253"/>
      <c r="D107" s="253"/>
      <c r="E107" s="61"/>
      <c r="F107" s="62"/>
      <c r="G107" s="63"/>
      <c r="H107" s="250">
        <v>700</v>
      </c>
      <c r="I107" s="250"/>
      <c r="J107" s="65">
        <v>700</v>
      </c>
      <c r="K107" s="63"/>
      <c r="L107" s="61"/>
      <c r="M107" s="62"/>
    </row>
    <row r="108" spans="1:13" x14ac:dyDescent="0.25">
      <c r="A108" s="253" t="s">
        <v>362</v>
      </c>
      <c r="B108" s="253"/>
      <c r="C108" s="253"/>
      <c r="D108" s="253"/>
      <c r="E108" s="61"/>
      <c r="F108" s="62"/>
      <c r="G108" s="63"/>
      <c r="H108" s="247">
        <v>1040</v>
      </c>
      <c r="I108" s="247"/>
      <c r="J108" s="64">
        <v>1040</v>
      </c>
      <c r="K108" s="63"/>
      <c r="L108" s="61"/>
      <c r="M108" s="62"/>
    </row>
    <row r="109" spans="1:13" x14ac:dyDescent="0.25">
      <c r="A109" s="253" t="s">
        <v>363</v>
      </c>
      <c r="B109" s="253"/>
      <c r="C109" s="253"/>
      <c r="D109" s="253"/>
      <c r="E109" s="61"/>
      <c r="F109" s="62"/>
      <c r="G109" s="63"/>
      <c r="H109" s="247">
        <v>1740</v>
      </c>
      <c r="I109" s="247"/>
      <c r="J109" s="64">
        <v>1740</v>
      </c>
      <c r="K109" s="63"/>
      <c r="L109" s="61"/>
      <c r="M109" s="62"/>
    </row>
    <row r="110" spans="1:13" x14ac:dyDescent="0.25">
      <c r="A110" s="253" t="s">
        <v>364</v>
      </c>
      <c r="B110" s="253"/>
      <c r="C110" s="253"/>
      <c r="D110" s="253"/>
      <c r="E110" s="61"/>
      <c r="F110" s="62"/>
      <c r="G110" s="63"/>
      <c r="H110" s="247">
        <v>21722.67</v>
      </c>
      <c r="I110" s="247"/>
      <c r="J110" s="64">
        <v>21722.67</v>
      </c>
      <c r="K110" s="63"/>
      <c r="L110" s="61"/>
      <c r="M110" s="62"/>
    </row>
    <row r="111" spans="1:13" x14ac:dyDescent="0.25">
      <c r="A111" s="253" t="s">
        <v>365</v>
      </c>
      <c r="B111" s="253"/>
      <c r="C111" s="253"/>
      <c r="D111" s="253"/>
      <c r="E111" s="61"/>
      <c r="F111" s="62"/>
      <c r="G111" s="63"/>
      <c r="H111" s="247">
        <v>18666.8</v>
      </c>
      <c r="I111" s="247"/>
      <c r="J111" s="64">
        <v>18666.8</v>
      </c>
      <c r="K111" s="63"/>
      <c r="L111" s="61"/>
      <c r="M111" s="62"/>
    </row>
    <row r="112" spans="1:13" x14ac:dyDescent="0.25">
      <c r="A112" s="253" t="s">
        <v>366</v>
      </c>
      <c r="B112" s="253"/>
      <c r="C112" s="253"/>
      <c r="D112" s="253"/>
      <c r="E112" s="250">
        <v>280.68</v>
      </c>
      <c r="F112" s="250"/>
      <c r="G112" s="63"/>
      <c r="H112" s="61"/>
      <c r="I112" s="62"/>
      <c r="J112" s="63"/>
      <c r="K112" s="65">
        <v>280.68</v>
      </c>
      <c r="L112" s="61"/>
      <c r="M112" s="62"/>
    </row>
    <row r="113" spans="1:13" x14ac:dyDescent="0.25">
      <c r="A113" s="253" t="s">
        <v>367</v>
      </c>
      <c r="B113" s="253"/>
      <c r="C113" s="253"/>
      <c r="D113" s="253"/>
      <c r="E113" s="61"/>
      <c r="F113" s="62"/>
      <c r="G113" s="63"/>
      <c r="H113" s="250">
        <v>770</v>
      </c>
      <c r="I113" s="250"/>
      <c r="J113" s="65">
        <v>770</v>
      </c>
      <c r="K113" s="63"/>
      <c r="L113" s="61"/>
      <c r="M113" s="62"/>
    </row>
    <row r="114" spans="1:13" x14ac:dyDescent="0.25">
      <c r="A114" s="253" t="s">
        <v>368</v>
      </c>
      <c r="B114" s="253"/>
      <c r="C114" s="253"/>
      <c r="D114" s="253"/>
      <c r="E114" s="61"/>
      <c r="F114" s="62"/>
      <c r="G114" s="63"/>
      <c r="H114" s="247">
        <v>4031.66</v>
      </c>
      <c r="I114" s="247"/>
      <c r="J114" s="64">
        <v>4031.66</v>
      </c>
      <c r="K114" s="63"/>
      <c r="L114" s="61"/>
      <c r="M114" s="62"/>
    </row>
    <row r="115" spans="1:13" x14ac:dyDescent="0.25">
      <c r="A115" s="253" t="s">
        <v>369</v>
      </c>
      <c r="B115" s="253"/>
      <c r="C115" s="253"/>
      <c r="D115" s="253"/>
      <c r="E115" s="61"/>
      <c r="F115" s="62"/>
      <c r="G115" s="63"/>
      <c r="H115" s="247">
        <v>12672.51</v>
      </c>
      <c r="I115" s="247"/>
      <c r="J115" s="64">
        <v>8800.36</v>
      </c>
      <c r="K115" s="64">
        <v>3872.15</v>
      </c>
      <c r="L115" s="61"/>
      <c r="M115" s="62"/>
    </row>
    <row r="116" spans="1:13" x14ac:dyDescent="0.25">
      <c r="A116" s="253" t="s">
        <v>370</v>
      </c>
      <c r="B116" s="253"/>
      <c r="C116" s="253"/>
      <c r="D116" s="253"/>
      <c r="E116" s="61"/>
      <c r="F116" s="62"/>
      <c r="G116" s="63"/>
      <c r="H116" s="247">
        <v>1660</v>
      </c>
      <c r="I116" s="247"/>
      <c r="J116" s="64">
        <v>1660</v>
      </c>
      <c r="K116" s="63"/>
      <c r="L116" s="61"/>
      <c r="M116" s="62"/>
    </row>
    <row r="117" spans="1:13" x14ac:dyDescent="0.25">
      <c r="A117" s="253" t="s">
        <v>371</v>
      </c>
      <c r="B117" s="253"/>
      <c r="C117" s="253"/>
      <c r="D117" s="253"/>
      <c r="E117" s="61"/>
      <c r="F117" s="62"/>
      <c r="G117" s="63"/>
      <c r="H117" s="250">
        <v>950</v>
      </c>
      <c r="I117" s="250"/>
      <c r="J117" s="65">
        <v>950</v>
      </c>
      <c r="K117" s="63"/>
      <c r="L117" s="61"/>
      <c r="M117" s="62"/>
    </row>
    <row r="118" spans="1:13" x14ac:dyDescent="0.25">
      <c r="A118" s="253" t="s">
        <v>372</v>
      </c>
      <c r="B118" s="253"/>
      <c r="C118" s="253"/>
      <c r="D118" s="253"/>
      <c r="E118" s="250">
        <v>118.64</v>
      </c>
      <c r="F118" s="250"/>
      <c r="G118" s="63"/>
      <c r="H118" s="61"/>
      <c r="I118" s="62"/>
      <c r="J118" s="63"/>
      <c r="K118" s="65">
        <v>118.64</v>
      </c>
      <c r="L118" s="61"/>
      <c r="M118" s="62"/>
    </row>
    <row r="119" spans="1:13" x14ac:dyDescent="0.25">
      <c r="A119" s="253" t="s">
        <v>373</v>
      </c>
      <c r="B119" s="253"/>
      <c r="C119" s="253"/>
      <c r="D119" s="253"/>
      <c r="E119" s="250">
        <v>404.95</v>
      </c>
      <c r="F119" s="250"/>
      <c r="G119" s="63"/>
      <c r="H119" s="61"/>
      <c r="I119" s="62"/>
      <c r="J119" s="63"/>
      <c r="K119" s="65">
        <v>404.95</v>
      </c>
      <c r="L119" s="61"/>
      <c r="M119" s="62"/>
    </row>
    <row r="120" spans="1:13" x14ac:dyDescent="0.25">
      <c r="A120" s="253" t="s">
        <v>374</v>
      </c>
      <c r="B120" s="253"/>
      <c r="C120" s="253"/>
      <c r="D120" s="253"/>
      <c r="E120" s="61"/>
      <c r="F120" s="62"/>
      <c r="G120" s="63"/>
      <c r="H120" s="250">
        <v>90</v>
      </c>
      <c r="I120" s="250"/>
      <c r="J120" s="65">
        <v>90</v>
      </c>
      <c r="K120" s="63"/>
      <c r="L120" s="61"/>
      <c r="M120" s="62"/>
    </row>
    <row r="121" spans="1:13" x14ac:dyDescent="0.25">
      <c r="A121" s="253" t="s">
        <v>375</v>
      </c>
      <c r="B121" s="253"/>
      <c r="C121" s="253"/>
      <c r="D121" s="253"/>
      <c r="E121" s="247">
        <v>1295.76</v>
      </c>
      <c r="F121" s="247"/>
      <c r="G121" s="63"/>
      <c r="H121" s="61"/>
      <c r="I121" s="62"/>
      <c r="J121" s="65">
        <v>673.89</v>
      </c>
      <c r="K121" s="65">
        <v>621.87</v>
      </c>
      <c r="L121" s="61"/>
      <c r="M121" s="62"/>
    </row>
    <row r="122" spans="1:13" x14ac:dyDescent="0.25">
      <c r="A122" s="253" t="s">
        <v>376</v>
      </c>
      <c r="B122" s="253"/>
      <c r="C122" s="253"/>
      <c r="D122" s="253"/>
      <c r="E122" s="61"/>
      <c r="F122" s="62"/>
      <c r="G122" s="63"/>
      <c r="H122" s="247">
        <v>23950</v>
      </c>
      <c r="I122" s="247"/>
      <c r="J122" s="64">
        <v>23950</v>
      </c>
      <c r="K122" s="63"/>
      <c r="L122" s="61"/>
      <c r="M122" s="62"/>
    </row>
    <row r="123" spans="1:13" x14ac:dyDescent="0.25">
      <c r="A123" s="253" t="s">
        <v>377</v>
      </c>
      <c r="B123" s="253"/>
      <c r="C123" s="253"/>
      <c r="D123" s="253"/>
      <c r="E123" s="61"/>
      <c r="F123" s="62"/>
      <c r="G123" s="63"/>
      <c r="H123" s="250">
        <v>190</v>
      </c>
      <c r="I123" s="250"/>
      <c r="J123" s="65">
        <v>190</v>
      </c>
      <c r="K123" s="63"/>
      <c r="L123" s="61"/>
      <c r="M123" s="62"/>
    </row>
    <row r="124" spans="1:13" x14ac:dyDescent="0.25">
      <c r="A124" s="253" t="s">
        <v>378</v>
      </c>
      <c r="B124" s="253"/>
      <c r="C124" s="253"/>
      <c r="D124" s="253"/>
      <c r="E124" s="61"/>
      <c r="F124" s="62"/>
      <c r="G124" s="63"/>
      <c r="H124" s="247">
        <v>32524</v>
      </c>
      <c r="I124" s="247"/>
      <c r="J124" s="64">
        <v>22360.400000000001</v>
      </c>
      <c r="K124" s="64">
        <v>10163.6</v>
      </c>
      <c r="L124" s="61"/>
      <c r="M124" s="62"/>
    </row>
    <row r="125" spans="1:13" x14ac:dyDescent="0.25">
      <c r="A125" s="253" t="s">
        <v>379</v>
      </c>
      <c r="B125" s="253"/>
      <c r="C125" s="253"/>
      <c r="D125" s="253"/>
      <c r="E125" s="61"/>
      <c r="F125" s="62"/>
      <c r="G125" s="63"/>
      <c r="H125" s="247">
        <v>45166.66</v>
      </c>
      <c r="I125" s="247"/>
      <c r="J125" s="64">
        <v>45166.66</v>
      </c>
      <c r="K125" s="63"/>
      <c r="L125" s="61"/>
      <c r="M125" s="62"/>
    </row>
    <row r="126" spans="1:13" x14ac:dyDescent="0.25">
      <c r="A126" s="253" t="s">
        <v>380</v>
      </c>
      <c r="B126" s="253"/>
      <c r="C126" s="253"/>
      <c r="D126" s="253"/>
      <c r="E126" s="61"/>
      <c r="F126" s="62"/>
      <c r="G126" s="63"/>
      <c r="H126" s="250">
        <v>316.66000000000003</v>
      </c>
      <c r="I126" s="250"/>
      <c r="J126" s="65">
        <v>316.66000000000003</v>
      </c>
      <c r="K126" s="63"/>
      <c r="L126" s="61"/>
      <c r="M126" s="62"/>
    </row>
    <row r="127" spans="1:13" x14ac:dyDescent="0.25">
      <c r="A127" s="253" t="s">
        <v>381</v>
      </c>
      <c r="B127" s="253"/>
      <c r="C127" s="253"/>
      <c r="D127" s="253"/>
      <c r="E127" s="61"/>
      <c r="F127" s="62"/>
      <c r="G127" s="63"/>
      <c r="H127" s="247">
        <v>1110</v>
      </c>
      <c r="I127" s="247"/>
      <c r="J127" s="64">
        <v>1110</v>
      </c>
      <c r="K127" s="63"/>
      <c r="L127" s="61"/>
      <c r="M127" s="62"/>
    </row>
    <row r="128" spans="1:13" x14ac:dyDescent="0.25">
      <c r="A128" s="248" t="s">
        <v>185</v>
      </c>
      <c r="B128" s="248"/>
      <c r="C128" s="248"/>
      <c r="D128" s="248"/>
      <c r="E128" s="249">
        <v>39767.230000000003</v>
      </c>
      <c r="F128" s="249"/>
      <c r="G128" s="68"/>
      <c r="H128" s="249">
        <v>2333950.61</v>
      </c>
      <c r="I128" s="249"/>
      <c r="J128" s="69">
        <v>2194562.1800000002</v>
      </c>
      <c r="K128" s="69">
        <v>179155.66</v>
      </c>
      <c r="L128" s="66"/>
      <c r="M128" s="67"/>
    </row>
  </sheetData>
  <mergeCells count="253">
    <mergeCell ref="A1:L1"/>
    <mergeCell ref="A2:L2"/>
    <mergeCell ref="A4:C4"/>
    <mergeCell ref="D4:L4"/>
    <mergeCell ref="A9:D9"/>
    <mergeCell ref="E9:G9"/>
    <mergeCell ref="H9:J9"/>
    <mergeCell ref="K9:M9"/>
    <mergeCell ref="A14:D14"/>
    <mergeCell ref="H14:I14"/>
    <mergeCell ref="A15:D15"/>
    <mergeCell ref="H15:I15"/>
    <mergeCell ref="A16:D16"/>
    <mergeCell ref="H16:I16"/>
    <mergeCell ref="L10:M11"/>
    <mergeCell ref="A11:D11"/>
    <mergeCell ref="A12:D12"/>
    <mergeCell ref="E12:F12"/>
    <mergeCell ref="H12:I12"/>
    <mergeCell ref="A13:D13"/>
    <mergeCell ref="E13:F13"/>
    <mergeCell ref="H13:I13"/>
    <mergeCell ref="A10:D10"/>
    <mergeCell ref="E10:F11"/>
    <mergeCell ref="G10:G11"/>
    <mergeCell ref="H10:I11"/>
    <mergeCell ref="J10:J11"/>
    <mergeCell ref="K10:K11"/>
    <mergeCell ref="A20:D20"/>
    <mergeCell ref="H20:I20"/>
    <mergeCell ref="A21:D21"/>
    <mergeCell ref="H21:I21"/>
    <mergeCell ref="A22:D22"/>
    <mergeCell ref="H22:I22"/>
    <mergeCell ref="A17:D17"/>
    <mergeCell ref="H17:I17"/>
    <mergeCell ref="A18:D18"/>
    <mergeCell ref="H18:I18"/>
    <mergeCell ref="A19:D19"/>
    <mergeCell ref="H19:I19"/>
    <mergeCell ref="A26:D26"/>
    <mergeCell ref="H26:I26"/>
    <mergeCell ref="A27:D27"/>
    <mergeCell ref="H27:I27"/>
    <mergeCell ref="A28:D28"/>
    <mergeCell ref="H28:I28"/>
    <mergeCell ref="A23:D23"/>
    <mergeCell ref="H23:I23"/>
    <mergeCell ref="A24:D24"/>
    <mergeCell ref="H24:I24"/>
    <mergeCell ref="A25:D25"/>
    <mergeCell ref="H25:I25"/>
    <mergeCell ref="A32:D32"/>
    <mergeCell ref="E32:F32"/>
    <mergeCell ref="A33:D33"/>
    <mergeCell ref="E33:F33"/>
    <mergeCell ref="A34:D34"/>
    <mergeCell ref="E34:F34"/>
    <mergeCell ref="A29:D29"/>
    <mergeCell ref="H29:I29"/>
    <mergeCell ref="A30:D30"/>
    <mergeCell ref="H30:I30"/>
    <mergeCell ref="A31:D31"/>
    <mergeCell ref="E31:F31"/>
    <mergeCell ref="A38:D38"/>
    <mergeCell ref="H38:I38"/>
    <mergeCell ref="A39:D39"/>
    <mergeCell ref="H39:I39"/>
    <mergeCell ref="A40:D40"/>
    <mergeCell ref="E40:F40"/>
    <mergeCell ref="A35:D35"/>
    <mergeCell ref="E35:F35"/>
    <mergeCell ref="A36:D36"/>
    <mergeCell ref="E36:F36"/>
    <mergeCell ref="A37:D37"/>
    <mergeCell ref="E37:F37"/>
    <mergeCell ref="A44:D44"/>
    <mergeCell ref="H44:I44"/>
    <mergeCell ref="A45:D45"/>
    <mergeCell ref="H45:I45"/>
    <mergeCell ref="A46:D46"/>
    <mergeCell ref="H46:I46"/>
    <mergeCell ref="A41:D41"/>
    <mergeCell ref="H41:I41"/>
    <mergeCell ref="A42:D42"/>
    <mergeCell ref="H42:I42"/>
    <mergeCell ref="A43:D43"/>
    <mergeCell ref="H43:I43"/>
    <mergeCell ref="A50:D50"/>
    <mergeCell ref="H50:I50"/>
    <mergeCell ref="A51:D51"/>
    <mergeCell ref="H51:I51"/>
    <mergeCell ref="A52:D52"/>
    <mergeCell ref="H52:I52"/>
    <mergeCell ref="A47:D47"/>
    <mergeCell ref="H47:I47"/>
    <mergeCell ref="A48:D48"/>
    <mergeCell ref="H48:I48"/>
    <mergeCell ref="A49:D49"/>
    <mergeCell ref="H49:I49"/>
    <mergeCell ref="A56:D56"/>
    <mergeCell ref="H56:I56"/>
    <mergeCell ref="A57:D57"/>
    <mergeCell ref="H57:I57"/>
    <mergeCell ref="A58:D58"/>
    <mergeCell ref="H58:I58"/>
    <mergeCell ref="A53:D53"/>
    <mergeCell ref="H53:I53"/>
    <mergeCell ref="A54:D54"/>
    <mergeCell ref="H54:I54"/>
    <mergeCell ref="A55:D55"/>
    <mergeCell ref="E55:F55"/>
    <mergeCell ref="A62:D62"/>
    <mergeCell ref="H62:I62"/>
    <mergeCell ref="A63:D63"/>
    <mergeCell ref="E63:F63"/>
    <mergeCell ref="A64:D64"/>
    <mergeCell ref="E64:F64"/>
    <mergeCell ref="A59:D59"/>
    <mergeCell ref="H59:I59"/>
    <mergeCell ref="A60:D60"/>
    <mergeCell ref="H60:I60"/>
    <mergeCell ref="A61:D61"/>
    <mergeCell ref="H61:I61"/>
    <mergeCell ref="A68:D68"/>
    <mergeCell ref="H68:I68"/>
    <mergeCell ref="A69:D69"/>
    <mergeCell ref="E69:F69"/>
    <mergeCell ref="A70:D70"/>
    <mergeCell ref="E70:F70"/>
    <mergeCell ref="A65:D65"/>
    <mergeCell ref="H65:I65"/>
    <mergeCell ref="A66:D66"/>
    <mergeCell ref="H66:I66"/>
    <mergeCell ref="A67:D67"/>
    <mergeCell ref="H67:I67"/>
    <mergeCell ref="A74:D74"/>
    <mergeCell ref="H74:I74"/>
    <mergeCell ref="A75:D75"/>
    <mergeCell ref="H75:I75"/>
    <mergeCell ref="A76:D76"/>
    <mergeCell ref="H76:I76"/>
    <mergeCell ref="A71:D71"/>
    <mergeCell ref="E71:F71"/>
    <mergeCell ref="A72:D72"/>
    <mergeCell ref="E72:F72"/>
    <mergeCell ref="A73:D73"/>
    <mergeCell ref="H73:I73"/>
    <mergeCell ref="A80:D80"/>
    <mergeCell ref="H80:I80"/>
    <mergeCell ref="A81:D81"/>
    <mergeCell ref="H81:I81"/>
    <mergeCell ref="A82:D82"/>
    <mergeCell ref="H82:I82"/>
    <mergeCell ref="A77:D77"/>
    <mergeCell ref="H77:I77"/>
    <mergeCell ref="A78:D78"/>
    <mergeCell ref="H78:I78"/>
    <mergeCell ref="A79:D79"/>
    <mergeCell ref="E79:F79"/>
    <mergeCell ref="A86:D86"/>
    <mergeCell ref="E86:F86"/>
    <mergeCell ref="A87:D87"/>
    <mergeCell ref="H87:I87"/>
    <mergeCell ref="A88:D88"/>
    <mergeCell ref="H88:I88"/>
    <mergeCell ref="A83:D83"/>
    <mergeCell ref="H83:I83"/>
    <mergeCell ref="A84:D84"/>
    <mergeCell ref="H84:I84"/>
    <mergeCell ref="A85:D85"/>
    <mergeCell ref="E85:F85"/>
    <mergeCell ref="A92:D92"/>
    <mergeCell ref="H92:I92"/>
    <mergeCell ref="A93:D93"/>
    <mergeCell ref="H93:I93"/>
    <mergeCell ref="A94:D94"/>
    <mergeCell ref="E94:F94"/>
    <mergeCell ref="A89:D89"/>
    <mergeCell ref="H89:I89"/>
    <mergeCell ref="A90:D90"/>
    <mergeCell ref="H90:I90"/>
    <mergeCell ref="A91:D91"/>
    <mergeCell ref="H91:I91"/>
    <mergeCell ref="A98:D98"/>
    <mergeCell ref="H98:I98"/>
    <mergeCell ref="A99:D99"/>
    <mergeCell ref="H99:I99"/>
    <mergeCell ref="A100:D100"/>
    <mergeCell ref="H100:I100"/>
    <mergeCell ref="A95:D95"/>
    <mergeCell ref="H95:I95"/>
    <mergeCell ref="A96:D96"/>
    <mergeCell ref="H96:I96"/>
    <mergeCell ref="A97:D97"/>
    <mergeCell ref="H97:I97"/>
    <mergeCell ref="A104:D104"/>
    <mergeCell ref="H104:I104"/>
    <mergeCell ref="A105:D105"/>
    <mergeCell ref="H105:I105"/>
    <mergeCell ref="A106:D106"/>
    <mergeCell ref="H106:I106"/>
    <mergeCell ref="A101:D101"/>
    <mergeCell ref="H101:I101"/>
    <mergeCell ref="A102:D102"/>
    <mergeCell ref="H102:I102"/>
    <mergeCell ref="A103:D103"/>
    <mergeCell ref="H103:I103"/>
    <mergeCell ref="A110:D110"/>
    <mergeCell ref="H110:I110"/>
    <mergeCell ref="A111:D111"/>
    <mergeCell ref="H111:I111"/>
    <mergeCell ref="A112:D112"/>
    <mergeCell ref="E112:F112"/>
    <mergeCell ref="A107:D107"/>
    <mergeCell ref="H107:I107"/>
    <mergeCell ref="A108:D108"/>
    <mergeCell ref="H108:I108"/>
    <mergeCell ref="A109:D109"/>
    <mergeCell ref="H109:I109"/>
    <mergeCell ref="A116:D116"/>
    <mergeCell ref="H116:I116"/>
    <mergeCell ref="A117:D117"/>
    <mergeCell ref="H117:I117"/>
    <mergeCell ref="A118:D118"/>
    <mergeCell ref="E118:F118"/>
    <mergeCell ref="A113:D113"/>
    <mergeCell ref="H113:I113"/>
    <mergeCell ref="A114:D114"/>
    <mergeCell ref="H114:I114"/>
    <mergeCell ref="A115:D115"/>
    <mergeCell ref="H115:I115"/>
    <mergeCell ref="A122:D122"/>
    <mergeCell ref="H122:I122"/>
    <mergeCell ref="A123:D123"/>
    <mergeCell ref="H123:I123"/>
    <mergeCell ref="A124:D124"/>
    <mergeCell ref="H124:I124"/>
    <mergeCell ref="A119:D119"/>
    <mergeCell ref="E119:F119"/>
    <mergeCell ref="A120:D120"/>
    <mergeCell ref="H120:I120"/>
    <mergeCell ref="A121:D121"/>
    <mergeCell ref="E121:F121"/>
    <mergeCell ref="A128:D128"/>
    <mergeCell ref="E128:F128"/>
    <mergeCell ref="H128:I128"/>
    <mergeCell ref="A125:D125"/>
    <mergeCell ref="H125:I125"/>
    <mergeCell ref="A126:D126"/>
    <mergeCell ref="H126:I126"/>
    <mergeCell ref="A127:D127"/>
    <mergeCell ref="H127:I1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D17" sqref="D17"/>
    </sheetView>
  </sheetViews>
  <sheetFormatPr defaultRowHeight="15" x14ac:dyDescent="0.25"/>
  <cols>
    <col min="2" max="3" width="10" bestFit="1" customWidth="1"/>
    <col min="4" max="4" width="11.42578125" bestFit="1" customWidth="1"/>
  </cols>
  <sheetData>
    <row r="2" spans="1:4" x14ac:dyDescent="0.25">
      <c r="A2" t="s">
        <v>383</v>
      </c>
      <c r="B2" s="74">
        <v>444448.7</v>
      </c>
      <c r="C2" s="74">
        <v>647131.89</v>
      </c>
      <c r="D2" s="74">
        <f>B2+C2</f>
        <v>1091580.5900000001</v>
      </c>
    </row>
    <row r="3" spans="1:4" x14ac:dyDescent="0.25">
      <c r="A3" t="s">
        <v>384</v>
      </c>
      <c r="B3" s="75">
        <v>501599.3</v>
      </c>
      <c r="C3" s="75">
        <v>318481.3</v>
      </c>
      <c r="D3" s="74">
        <f t="shared" ref="D3:D13" si="0">B3+C3</f>
        <v>820080.6</v>
      </c>
    </row>
    <row r="4" spans="1:4" x14ac:dyDescent="0.25">
      <c r="A4" t="s">
        <v>385</v>
      </c>
      <c r="B4" s="76">
        <v>507817.67</v>
      </c>
      <c r="C4" s="76">
        <v>234133.75</v>
      </c>
      <c r="D4" s="74">
        <f t="shared" si="0"/>
        <v>741951.41999999993</v>
      </c>
    </row>
    <row r="5" spans="1:4" x14ac:dyDescent="0.25">
      <c r="A5" t="s">
        <v>386</v>
      </c>
      <c r="B5" s="75">
        <v>449290.16</v>
      </c>
      <c r="C5" s="75">
        <v>253269.52</v>
      </c>
      <c r="D5" s="74">
        <f t="shared" si="0"/>
        <v>702559.67999999993</v>
      </c>
    </row>
    <row r="6" spans="1:4" x14ac:dyDescent="0.25">
      <c r="A6" t="s">
        <v>387</v>
      </c>
      <c r="B6" s="75">
        <v>413428.29</v>
      </c>
      <c r="C6" s="75">
        <v>103659.56</v>
      </c>
      <c r="D6" s="74">
        <f t="shared" si="0"/>
        <v>517087.85</v>
      </c>
    </row>
    <row r="7" spans="1:4" x14ac:dyDescent="0.25">
      <c r="A7" t="s">
        <v>388</v>
      </c>
      <c r="B7" s="75">
        <v>473810.25</v>
      </c>
      <c r="C7" s="75">
        <v>458537.12</v>
      </c>
      <c r="D7" s="74">
        <f t="shared" si="0"/>
        <v>932347.37</v>
      </c>
    </row>
    <row r="8" spans="1:4" x14ac:dyDescent="0.25">
      <c r="A8" t="s">
        <v>389</v>
      </c>
      <c r="B8" s="75">
        <v>434619.05</v>
      </c>
      <c r="D8" s="74">
        <f t="shared" si="0"/>
        <v>434619.05</v>
      </c>
    </row>
    <row r="9" spans="1:4" x14ac:dyDescent="0.25">
      <c r="A9" t="s">
        <v>390</v>
      </c>
      <c r="B9" s="75">
        <v>552015.85</v>
      </c>
      <c r="C9" s="74">
        <v>366272.53</v>
      </c>
      <c r="D9" s="74">
        <f t="shared" si="0"/>
        <v>918288.38</v>
      </c>
    </row>
    <row r="10" spans="1:4" x14ac:dyDescent="0.25">
      <c r="A10" t="s">
        <v>391</v>
      </c>
      <c r="B10" s="75">
        <v>482707.54</v>
      </c>
      <c r="C10" s="75">
        <v>311451.59000000003</v>
      </c>
      <c r="D10" s="74">
        <f t="shared" si="0"/>
        <v>794159.13</v>
      </c>
    </row>
    <row r="11" spans="1:4" x14ac:dyDescent="0.25">
      <c r="A11" t="s">
        <v>392</v>
      </c>
      <c r="B11" s="74">
        <v>426617.08</v>
      </c>
      <c r="D11" s="74">
        <f t="shared" si="0"/>
        <v>426617.08</v>
      </c>
    </row>
    <row r="12" spans="1:4" x14ac:dyDescent="0.25">
      <c r="A12" t="s">
        <v>393</v>
      </c>
      <c r="D12" s="74">
        <f t="shared" si="0"/>
        <v>0</v>
      </c>
    </row>
    <row r="13" spans="1:4" x14ac:dyDescent="0.25">
      <c r="A13" t="s">
        <v>394</v>
      </c>
      <c r="D13" s="74">
        <f t="shared" si="0"/>
        <v>0</v>
      </c>
    </row>
    <row r="15" spans="1:4" x14ac:dyDescent="0.25">
      <c r="D15" s="74">
        <f>SUM(D2:D14)</f>
        <v>7379291.1499999994</v>
      </c>
    </row>
    <row r="16" spans="1:4" x14ac:dyDescent="0.25">
      <c r="D16">
        <f>D15/1000</f>
        <v>7379.2911499999991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topLeftCell="C61" workbookViewId="0">
      <selection activeCell="G7" sqref="G7"/>
    </sheetView>
  </sheetViews>
  <sheetFormatPr defaultColWidth="9.140625" defaultRowHeight="15.75" x14ac:dyDescent="0.25"/>
  <cols>
    <col min="1" max="1" width="8.28515625" style="23" customWidth="1"/>
    <col min="2" max="2" width="9" style="85" customWidth="1"/>
    <col min="3" max="3" width="31.85546875" style="85" customWidth="1"/>
    <col min="4" max="4" width="14.85546875" style="85" customWidth="1"/>
    <col min="5" max="5" width="16.140625" style="85" customWidth="1"/>
    <col min="6" max="6" width="10" style="85" customWidth="1"/>
    <col min="7" max="7" width="10.85546875" style="85" customWidth="1"/>
    <col min="8" max="8" width="14.7109375" style="85" customWidth="1"/>
    <col min="9" max="9" width="13.140625" style="85" customWidth="1"/>
    <col min="10" max="10" width="15.28515625" style="85" customWidth="1"/>
    <col min="11" max="11" width="16" style="85" customWidth="1"/>
    <col min="12" max="12" width="24.28515625" style="85" customWidth="1"/>
    <col min="13" max="15" width="14.42578125" style="85" customWidth="1"/>
    <col min="16" max="16" width="5.28515625" style="85" customWidth="1"/>
    <col min="17" max="19" width="14.5703125" style="85" customWidth="1"/>
    <col min="20" max="16384" width="9.140625" style="85"/>
  </cols>
  <sheetData>
    <row r="1" spans="1:17" s="1" customFormat="1" ht="15" x14ac:dyDescent="0.25">
      <c r="A1" s="77"/>
      <c r="B1" s="77"/>
      <c r="C1" s="77"/>
      <c r="D1" s="77"/>
      <c r="E1" s="77"/>
      <c r="F1" s="77"/>
      <c r="G1" s="77"/>
    </row>
    <row r="2" spans="1:17" s="1" customFormat="1" ht="15" x14ac:dyDescent="0.25">
      <c r="A2" s="275" t="s">
        <v>395</v>
      </c>
      <c r="B2" s="275"/>
      <c r="C2" s="275"/>
      <c r="D2" s="275"/>
      <c r="E2" s="275"/>
      <c r="F2" s="275"/>
      <c r="G2" s="275"/>
      <c r="H2" s="275"/>
      <c r="I2" s="275"/>
      <c r="J2" s="78"/>
    </row>
    <row r="3" spans="1:17" s="1" customFormat="1" ht="15" x14ac:dyDescent="0.25">
      <c r="A3" s="79"/>
      <c r="B3" s="80"/>
      <c r="C3" s="80"/>
      <c r="D3" s="80"/>
      <c r="E3" s="80"/>
      <c r="F3" s="80"/>
      <c r="G3" s="80"/>
      <c r="H3" s="81"/>
      <c r="I3" s="81"/>
      <c r="J3" s="81"/>
    </row>
    <row r="4" spans="1:17" ht="47.25" x14ac:dyDescent="0.25">
      <c r="A4" s="82" t="s">
        <v>396</v>
      </c>
      <c r="B4" s="83" t="s">
        <v>397</v>
      </c>
      <c r="C4" s="82" t="s">
        <v>398</v>
      </c>
      <c r="D4" s="84" t="s">
        <v>399</v>
      </c>
      <c r="E4" s="82" t="s">
        <v>400</v>
      </c>
      <c r="F4" s="82" t="s">
        <v>401</v>
      </c>
      <c r="G4" s="82" t="s">
        <v>402</v>
      </c>
      <c r="H4" s="82" t="s">
        <v>403</v>
      </c>
      <c r="I4" s="82" t="s">
        <v>404</v>
      </c>
      <c r="J4" s="82"/>
      <c r="K4" s="23"/>
      <c r="L4" s="23"/>
      <c r="M4" s="23" t="s">
        <v>405</v>
      </c>
      <c r="N4" s="23" t="s">
        <v>406</v>
      </c>
      <c r="O4" s="23" t="s">
        <v>407</v>
      </c>
      <c r="P4" s="23"/>
    </row>
    <row r="5" spans="1:17" ht="94.5" x14ac:dyDescent="0.25">
      <c r="A5" s="86">
        <v>1</v>
      </c>
      <c r="B5" s="87" t="s">
        <v>408</v>
      </c>
      <c r="C5" s="88" t="s">
        <v>409</v>
      </c>
      <c r="D5" s="89">
        <v>230882</v>
      </c>
      <c r="E5" s="86" t="s">
        <v>410</v>
      </c>
      <c r="F5" s="86" t="s">
        <v>135</v>
      </c>
      <c r="G5" s="86" t="s">
        <v>411</v>
      </c>
      <c r="H5" s="86" t="s">
        <v>412</v>
      </c>
      <c r="I5" s="86" t="s">
        <v>413</v>
      </c>
      <c r="J5" s="23" t="s">
        <v>414</v>
      </c>
      <c r="K5" s="90" t="s">
        <v>415</v>
      </c>
      <c r="L5" s="91"/>
      <c r="M5" s="92">
        <f>D5</f>
        <v>230882</v>
      </c>
      <c r="N5" s="92">
        <f t="shared" ref="N5:N19" si="0">M5*0.2</f>
        <v>46176.4</v>
      </c>
      <c r="O5" s="92">
        <f t="shared" ref="O5:O19" si="1">M5+N5</f>
        <v>277058.40000000002</v>
      </c>
      <c r="P5" s="23"/>
    </row>
    <row r="6" spans="1:17" ht="63" x14ac:dyDescent="0.25">
      <c r="A6" s="86">
        <v>2</v>
      </c>
      <c r="B6" s="93" t="s">
        <v>408</v>
      </c>
      <c r="C6" s="94" t="s">
        <v>416</v>
      </c>
      <c r="D6" s="89">
        <v>164928</v>
      </c>
      <c r="E6" s="86" t="s">
        <v>417</v>
      </c>
      <c r="F6" s="86" t="s">
        <v>1</v>
      </c>
      <c r="G6" s="86" t="s">
        <v>418</v>
      </c>
      <c r="H6" s="86" t="s">
        <v>419</v>
      </c>
      <c r="I6" s="86" t="s">
        <v>413</v>
      </c>
      <c r="J6" s="95" t="s">
        <v>420</v>
      </c>
      <c r="K6" s="96" t="s">
        <v>421</v>
      </c>
      <c r="L6" s="97" t="s">
        <v>422</v>
      </c>
      <c r="M6" s="98">
        <f>D6</f>
        <v>164928</v>
      </c>
      <c r="N6" s="98">
        <f t="shared" si="0"/>
        <v>32985.599999999999</v>
      </c>
      <c r="O6" s="98">
        <f t="shared" si="1"/>
        <v>197913.60000000001</v>
      </c>
      <c r="P6" s="23"/>
    </row>
    <row r="7" spans="1:17" ht="63" x14ac:dyDescent="0.25">
      <c r="A7" s="86">
        <v>3</v>
      </c>
      <c r="B7" s="93" t="s">
        <v>408</v>
      </c>
      <c r="C7" s="94" t="s">
        <v>423</v>
      </c>
      <c r="D7" s="89">
        <v>76312</v>
      </c>
      <c r="E7" s="86" t="s">
        <v>424</v>
      </c>
      <c r="F7" s="86" t="s">
        <v>2</v>
      </c>
      <c r="G7" s="86" t="s">
        <v>418</v>
      </c>
      <c r="H7" s="86" t="s">
        <v>419</v>
      </c>
      <c r="I7" s="86" t="s">
        <v>413</v>
      </c>
      <c r="J7" s="95" t="s">
        <v>420</v>
      </c>
      <c r="K7" s="96" t="s">
        <v>425</v>
      </c>
      <c r="L7" s="97" t="s">
        <v>426</v>
      </c>
      <c r="M7" s="98">
        <f>D7</f>
        <v>76312</v>
      </c>
      <c r="N7" s="98">
        <f t="shared" si="0"/>
        <v>15262.400000000001</v>
      </c>
      <c r="O7" s="98">
        <f t="shared" si="1"/>
        <v>91574.399999999994</v>
      </c>
      <c r="P7" s="23"/>
    </row>
    <row r="8" spans="1:17" ht="63" x14ac:dyDescent="0.25">
      <c r="A8" s="86">
        <v>4</v>
      </c>
      <c r="B8" s="99" t="s">
        <v>427</v>
      </c>
      <c r="C8" s="100" t="s">
        <v>428</v>
      </c>
      <c r="D8" s="101">
        <v>59240</v>
      </c>
      <c r="E8" s="23" t="s">
        <v>429</v>
      </c>
      <c r="F8" s="23" t="s">
        <v>0</v>
      </c>
      <c r="G8" s="102" t="s">
        <v>418</v>
      </c>
      <c r="H8" s="23" t="s">
        <v>419</v>
      </c>
      <c r="I8" s="23" t="s">
        <v>413</v>
      </c>
      <c r="J8" s="103" t="s">
        <v>430</v>
      </c>
      <c r="K8" s="104" t="s">
        <v>415</v>
      </c>
      <c r="L8" s="105" t="s">
        <v>431</v>
      </c>
      <c r="M8" s="106">
        <f>D8</f>
        <v>59240</v>
      </c>
      <c r="N8" s="106">
        <f t="shared" si="0"/>
        <v>11848</v>
      </c>
      <c r="O8" s="106">
        <f t="shared" si="1"/>
        <v>71088</v>
      </c>
      <c r="P8" s="23"/>
    </row>
    <row r="9" spans="1:17" ht="63" x14ac:dyDescent="0.25">
      <c r="A9" s="86">
        <v>5</v>
      </c>
      <c r="B9" s="99" t="s">
        <v>432</v>
      </c>
      <c r="C9" s="100" t="s">
        <v>433</v>
      </c>
      <c r="D9" s="101">
        <v>59240</v>
      </c>
      <c r="E9" s="23" t="s">
        <v>434</v>
      </c>
      <c r="F9" s="23" t="s">
        <v>135</v>
      </c>
      <c r="G9" s="102" t="s">
        <v>411</v>
      </c>
      <c r="H9" s="23" t="s">
        <v>419</v>
      </c>
      <c r="I9" s="23" t="s">
        <v>413</v>
      </c>
      <c r="J9" s="107" t="s">
        <v>435</v>
      </c>
      <c r="K9" s="108" t="s">
        <v>436</v>
      </c>
      <c r="L9" s="109" t="s">
        <v>437</v>
      </c>
      <c r="M9" s="110">
        <f>D9</f>
        <v>59240</v>
      </c>
      <c r="N9" s="110">
        <f t="shared" si="0"/>
        <v>11848</v>
      </c>
      <c r="O9" s="110">
        <f t="shared" si="1"/>
        <v>71088</v>
      </c>
      <c r="P9" s="23"/>
    </row>
    <row r="10" spans="1:17" ht="63" x14ac:dyDescent="0.25">
      <c r="A10" s="86">
        <v>6</v>
      </c>
      <c r="B10" s="111" t="s">
        <v>438</v>
      </c>
      <c r="C10" s="94" t="s">
        <v>439</v>
      </c>
      <c r="D10" s="89">
        <v>209533</v>
      </c>
      <c r="E10" s="86" t="s">
        <v>440</v>
      </c>
      <c r="F10" s="86" t="s">
        <v>134</v>
      </c>
      <c r="G10" s="86" t="s">
        <v>411</v>
      </c>
      <c r="H10" s="86" t="s">
        <v>419</v>
      </c>
      <c r="I10" s="86" t="s">
        <v>413</v>
      </c>
      <c r="J10" s="107" t="s">
        <v>435</v>
      </c>
      <c r="K10" s="108" t="s">
        <v>441</v>
      </c>
      <c r="L10" s="109" t="s">
        <v>442</v>
      </c>
      <c r="M10" s="110">
        <f t="shared" ref="M10:M13" si="2">D10</f>
        <v>209533</v>
      </c>
      <c r="N10" s="110">
        <f t="shared" si="0"/>
        <v>41906.600000000006</v>
      </c>
      <c r="O10" s="110">
        <f t="shared" si="1"/>
        <v>251439.6</v>
      </c>
      <c r="P10" s="23"/>
    </row>
    <row r="11" spans="1:17" ht="63" x14ac:dyDescent="0.25">
      <c r="A11" s="86">
        <v>7</v>
      </c>
      <c r="B11" s="111" t="s">
        <v>438</v>
      </c>
      <c r="C11" s="94" t="s">
        <v>443</v>
      </c>
      <c r="D11" s="89">
        <v>84156</v>
      </c>
      <c r="E11" s="86" t="s">
        <v>444</v>
      </c>
      <c r="F11" s="86" t="s">
        <v>134</v>
      </c>
      <c r="G11" s="86" t="s">
        <v>411</v>
      </c>
      <c r="H11" s="86" t="s">
        <v>419</v>
      </c>
      <c r="I11" s="86" t="s">
        <v>413</v>
      </c>
      <c r="J11" s="107" t="s">
        <v>435</v>
      </c>
      <c r="K11" s="108" t="s">
        <v>445</v>
      </c>
      <c r="L11" s="109" t="s">
        <v>446</v>
      </c>
      <c r="M11" s="110">
        <f t="shared" si="2"/>
        <v>84156</v>
      </c>
      <c r="N11" s="110">
        <f t="shared" si="0"/>
        <v>16831.2</v>
      </c>
      <c r="O11" s="110">
        <f t="shared" si="1"/>
        <v>100987.2</v>
      </c>
      <c r="P11" s="23"/>
    </row>
    <row r="12" spans="1:17" ht="63" x14ac:dyDescent="0.25">
      <c r="A12" s="86">
        <v>8</v>
      </c>
      <c r="B12" s="111" t="s">
        <v>447</v>
      </c>
      <c r="C12" s="94" t="s">
        <v>448</v>
      </c>
      <c r="D12" s="89">
        <v>84156</v>
      </c>
      <c r="E12" s="86" t="s">
        <v>449</v>
      </c>
      <c r="F12" s="86" t="s">
        <v>134</v>
      </c>
      <c r="G12" s="86" t="s">
        <v>411</v>
      </c>
      <c r="H12" s="86" t="s">
        <v>419</v>
      </c>
      <c r="I12" s="86" t="s">
        <v>413</v>
      </c>
      <c r="J12" s="107" t="s">
        <v>435</v>
      </c>
      <c r="K12" s="108" t="s">
        <v>450</v>
      </c>
      <c r="L12" s="109" t="s">
        <v>451</v>
      </c>
      <c r="M12" s="110">
        <f t="shared" si="2"/>
        <v>84156</v>
      </c>
      <c r="N12" s="110">
        <f t="shared" si="0"/>
        <v>16831.2</v>
      </c>
      <c r="O12" s="110">
        <f t="shared" si="1"/>
        <v>100987.2</v>
      </c>
      <c r="P12" s="23"/>
    </row>
    <row r="13" spans="1:17" ht="63" x14ac:dyDescent="0.25">
      <c r="A13" s="86">
        <v>9</v>
      </c>
      <c r="B13" s="111" t="s">
        <v>447</v>
      </c>
      <c r="C13" s="94" t="s">
        <v>452</v>
      </c>
      <c r="D13" s="89">
        <v>12765</v>
      </c>
      <c r="E13" s="86" t="s">
        <v>453</v>
      </c>
      <c r="F13" s="86" t="s">
        <v>134</v>
      </c>
      <c r="G13" s="86" t="s">
        <v>411</v>
      </c>
      <c r="H13" s="86" t="s">
        <v>419</v>
      </c>
      <c r="I13" s="86" t="s">
        <v>413</v>
      </c>
      <c r="J13" s="107" t="s">
        <v>435</v>
      </c>
      <c r="K13" s="108" t="s">
        <v>454</v>
      </c>
      <c r="L13" s="109" t="s">
        <v>455</v>
      </c>
      <c r="M13" s="110">
        <f t="shared" si="2"/>
        <v>12765</v>
      </c>
      <c r="N13" s="110">
        <f t="shared" si="0"/>
        <v>2553</v>
      </c>
      <c r="O13" s="110">
        <f t="shared" si="1"/>
        <v>15318</v>
      </c>
      <c r="P13" s="23"/>
    </row>
    <row r="14" spans="1:17" ht="63" x14ac:dyDescent="0.25">
      <c r="A14" s="86">
        <v>10</v>
      </c>
      <c r="B14" s="111" t="s">
        <v>447</v>
      </c>
      <c r="C14" s="94" t="s">
        <v>456</v>
      </c>
      <c r="D14" s="89">
        <v>286020</v>
      </c>
      <c r="E14" s="86" t="s">
        <v>457</v>
      </c>
      <c r="F14" s="86" t="s">
        <v>134</v>
      </c>
      <c r="G14" s="86" t="s">
        <v>411</v>
      </c>
      <c r="H14" s="86" t="s">
        <v>419</v>
      </c>
      <c r="I14" s="86" t="s">
        <v>413</v>
      </c>
      <c r="J14" s="107" t="s">
        <v>435</v>
      </c>
      <c r="K14" s="112" t="s">
        <v>458</v>
      </c>
      <c r="L14" s="109" t="s">
        <v>459</v>
      </c>
      <c r="M14" s="113">
        <v>83284.789999999994</v>
      </c>
      <c r="N14" s="113">
        <f t="shared" si="0"/>
        <v>16656.957999999999</v>
      </c>
      <c r="O14" s="113">
        <f t="shared" si="1"/>
        <v>99941.747999999992</v>
      </c>
      <c r="P14" s="23"/>
    </row>
    <row r="15" spans="1:17" ht="63" x14ac:dyDescent="0.25">
      <c r="A15" s="86">
        <v>11</v>
      </c>
      <c r="B15" s="111" t="s">
        <v>447</v>
      </c>
      <c r="C15" s="94" t="s">
        <v>460</v>
      </c>
      <c r="D15" s="89">
        <v>0</v>
      </c>
      <c r="E15" s="86" t="s">
        <v>457</v>
      </c>
      <c r="F15" s="86" t="s">
        <v>134</v>
      </c>
      <c r="G15" s="86" t="s">
        <v>411</v>
      </c>
      <c r="H15" s="86" t="s">
        <v>419</v>
      </c>
      <c r="I15" s="86" t="s">
        <v>413</v>
      </c>
      <c r="J15" s="107" t="s">
        <v>435</v>
      </c>
      <c r="K15" s="112" t="s">
        <v>461</v>
      </c>
      <c r="L15" s="109" t="s">
        <v>459</v>
      </c>
      <c r="M15" s="113">
        <v>46349.7</v>
      </c>
      <c r="N15" s="113">
        <f t="shared" si="0"/>
        <v>9269.94</v>
      </c>
      <c r="O15" s="113">
        <f t="shared" si="1"/>
        <v>55619.64</v>
      </c>
      <c r="P15" s="23"/>
      <c r="Q15" s="114"/>
    </row>
    <row r="16" spans="1:17" ht="63" x14ac:dyDescent="0.25">
      <c r="A16" s="86">
        <v>12</v>
      </c>
      <c r="B16" s="111" t="s">
        <v>462</v>
      </c>
      <c r="C16" s="94" t="s">
        <v>463</v>
      </c>
      <c r="D16" s="89">
        <v>84156</v>
      </c>
      <c r="E16" s="86" t="s">
        <v>464</v>
      </c>
      <c r="F16" s="86" t="s">
        <v>137</v>
      </c>
      <c r="G16" s="86" t="s">
        <v>465</v>
      </c>
      <c r="H16" s="86" t="s">
        <v>419</v>
      </c>
      <c r="I16" s="86" t="s">
        <v>413</v>
      </c>
      <c r="J16" s="103" t="s">
        <v>430</v>
      </c>
      <c r="K16" s="104" t="s">
        <v>466</v>
      </c>
      <c r="L16" s="105" t="s">
        <v>467</v>
      </c>
      <c r="M16" s="106">
        <f>D16</f>
        <v>84156</v>
      </c>
      <c r="N16" s="106">
        <f t="shared" si="0"/>
        <v>16831.2</v>
      </c>
      <c r="O16" s="106">
        <f t="shared" si="1"/>
        <v>100987.2</v>
      </c>
      <c r="P16" s="23"/>
    </row>
    <row r="17" spans="1:17" ht="63" x14ac:dyDescent="0.25">
      <c r="A17" s="86">
        <v>13</v>
      </c>
      <c r="B17" s="111" t="s">
        <v>462</v>
      </c>
      <c r="C17" s="94" t="s">
        <v>468</v>
      </c>
      <c r="D17" s="89">
        <v>12765</v>
      </c>
      <c r="E17" s="86" t="s">
        <v>469</v>
      </c>
      <c r="F17" s="86" t="s">
        <v>137</v>
      </c>
      <c r="G17" s="86" t="s">
        <v>465</v>
      </c>
      <c r="H17" s="86" t="s">
        <v>419</v>
      </c>
      <c r="I17" s="86" t="s">
        <v>413</v>
      </c>
      <c r="J17" s="103" t="s">
        <v>430</v>
      </c>
      <c r="K17" s="104" t="s">
        <v>470</v>
      </c>
      <c r="L17" s="105" t="s">
        <v>471</v>
      </c>
      <c r="M17" s="106">
        <f t="shared" ref="M17:M19" si="3">D17</f>
        <v>12765</v>
      </c>
      <c r="N17" s="106">
        <f t="shared" si="0"/>
        <v>2553</v>
      </c>
      <c r="O17" s="106">
        <f t="shared" si="1"/>
        <v>15318</v>
      </c>
      <c r="P17" s="23"/>
    </row>
    <row r="18" spans="1:17" ht="63" x14ac:dyDescent="0.25">
      <c r="A18" s="86">
        <v>14</v>
      </c>
      <c r="B18" s="111" t="s">
        <v>472</v>
      </c>
      <c r="C18" s="94" t="s">
        <v>473</v>
      </c>
      <c r="D18" s="89">
        <v>84156</v>
      </c>
      <c r="E18" s="86" t="s">
        <v>474</v>
      </c>
      <c r="F18" s="86" t="s">
        <v>137</v>
      </c>
      <c r="G18" s="86" t="s">
        <v>465</v>
      </c>
      <c r="H18" s="86" t="s">
        <v>419</v>
      </c>
      <c r="I18" s="86" t="s">
        <v>413</v>
      </c>
      <c r="J18" s="103" t="s">
        <v>430</v>
      </c>
      <c r="K18" s="104" t="s">
        <v>475</v>
      </c>
      <c r="L18" s="105" t="s">
        <v>476</v>
      </c>
      <c r="M18" s="106">
        <f t="shared" si="3"/>
        <v>84156</v>
      </c>
      <c r="N18" s="106">
        <f t="shared" si="0"/>
        <v>16831.2</v>
      </c>
      <c r="O18" s="106">
        <f t="shared" si="1"/>
        <v>100987.2</v>
      </c>
      <c r="P18" s="23"/>
    </row>
    <row r="19" spans="1:17" ht="63" x14ac:dyDescent="0.25">
      <c r="A19" s="86">
        <v>15</v>
      </c>
      <c r="B19" s="111" t="s">
        <v>472</v>
      </c>
      <c r="C19" s="94" t="s">
        <v>477</v>
      </c>
      <c r="D19" s="89">
        <v>12765</v>
      </c>
      <c r="E19" s="86" t="s">
        <v>478</v>
      </c>
      <c r="F19" s="86" t="s">
        <v>137</v>
      </c>
      <c r="G19" s="86" t="s">
        <v>465</v>
      </c>
      <c r="H19" s="86" t="s">
        <v>419</v>
      </c>
      <c r="I19" s="86" t="s">
        <v>413</v>
      </c>
      <c r="J19" s="103" t="s">
        <v>430</v>
      </c>
      <c r="K19" s="104" t="s">
        <v>479</v>
      </c>
      <c r="L19" s="105" t="s">
        <v>480</v>
      </c>
      <c r="M19" s="106">
        <f t="shared" si="3"/>
        <v>12765</v>
      </c>
      <c r="N19" s="106">
        <f t="shared" si="0"/>
        <v>2553</v>
      </c>
      <c r="O19" s="106">
        <f t="shared" si="1"/>
        <v>15318</v>
      </c>
      <c r="P19" s="23"/>
    </row>
    <row r="20" spans="1:17" ht="63" x14ac:dyDescent="0.25">
      <c r="A20" s="86">
        <v>16</v>
      </c>
      <c r="B20" s="115" t="s">
        <v>472</v>
      </c>
      <c r="C20" s="116" t="s">
        <v>481</v>
      </c>
      <c r="D20" s="101">
        <v>286020</v>
      </c>
      <c r="E20" s="23" t="s">
        <v>482</v>
      </c>
      <c r="F20" s="23" t="s">
        <v>137</v>
      </c>
      <c r="G20" s="102" t="s">
        <v>465</v>
      </c>
      <c r="H20" s="23" t="s">
        <v>419</v>
      </c>
      <c r="I20" s="23" t="s">
        <v>413</v>
      </c>
      <c r="J20" s="103" t="s">
        <v>430</v>
      </c>
      <c r="K20" s="117" t="s">
        <v>483</v>
      </c>
      <c r="L20" s="105" t="s">
        <v>484</v>
      </c>
      <c r="M20" s="118">
        <v>222036.88</v>
      </c>
      <c r="N20" s="119">
        <f>M20*0.2</f>
        <v>44407.376000000004</v>
      </c>
      <c r="O20" s="119">
        <f>M20+N20</f>
        <v>266444.25599999999</v>
      </c>
      <c r="P20" s="23"/>
    </row>
    <row r="21" spans="1:17" ht="63" x14ac:dyDescent="0.25">
      <c r="A21" s="86">
        <v>17</v>
      </c>
      <c r="B21" s="115" t="s">
        <v>472</v>
      </c>
      <c r="C21" s="116" t="s">
        <v>481</v>
      </c>
      <c r="D21" s="101">
        <v>0</v>
      </c>
      <c r="E21" s="23" t="s">
        <v>482</v>
      </c>
      <c r="F21" s="23" t="s">
        <v>137</v>
      </c>
      <c r="G21" s="102" t="s">
        <v>465</v>
      </c>
      <c r="H21" s="23" t="s">
        <v>419</v>
      </c>
      <c r="I21" s="23" t="s">
        <v>413</v>
      </c>
      <c r="J21" s="103" t="s">
        <v>430</v>
      </c>
      <c r="K21" s="117" t="s">
        <v>485</v>
      </c>
      <c r="L21" s="105" t="s">
        <v>484</v>
      </c>
      <c r="M21" s="118">
        <v>75997.34</v>
      </c>
      <c r="N21" s="119">
        <f>M21*0.2</f>
        <v>15199.468000000001</v>
      </c>
      <c r="O21" s="119">
        <f>M21+N21</f>
        <v>91196.80799999999</v>
      </c>
      <c r="P21" s="23"/>
    </row>
    <row r="22" spans="1:17" ht="63" x14ac:dyDescent="0.25">
      <c r="A22" s="86">
        <v>18</v>
      </c>
      <c r="B22" s="111" t="s">
        <v>486</v>
      </c>
      <c r="C22" s="94" t="s">
        <v>487</v>
      </c>
      <c r="D22" s="89">
        <v>84156</v>
      </c>
      <c r="E22" s="86" t="s">
        <v>488</v>
      </c>
      <c r="F22" s="86" t="s">
        <v>135</v>
      </c>
      <c r="G22" s="86" t="s">
        <v>411</v>
      </c>
      <c r="H22" s="86" t="s">
        <v>419</v>
      </c>
      <c r="I22" s="86" t="s">
        <v>413</v>
      </c>
      <c r="J22" s="103" t="s">
        <v>430</v>
      </c>
      <c r="K22" s="104" t="s">
        <v>441</v>
      </c>
      <c r="L22" s="105" t="s">
        <v>489</v>
      </c>
      <c r="M22" s="106">
        <f>D22</f>
        <v>84156</v>
      </c>
      <c r="N22" s="106">
        <f t="shared" ref="N22:N62" si="4">M22*0.2</f>
        <v>16831.2</v>
      </c>
      <c r="O22" s="106">
        <f t="shared" ref="O22:O62" si="5">M22+N22</f>
        <v>100987.2</v>
      </c>
      <c r="P22" s="23"/>
    </row>
    <row r="23" spans="1:17" ht="63" x14ac:dyDescent="0.25">
      <c r="A23" s="86">
        <v>19</v>
      </c>
      <c r="B23" s="111" t="s">
        <v>486</v>
      </c>
      <c r="C23" s="94" t="s">
        <v>490</v>
      </c>
      <c r="D23" s="89">
        <v>12765</v>
      </c>
      <c r="E23" s="86" t="s">
        <v>491</v>
      </c>
      <c r="F23" s="86" t="s">
        <v>135</v>
      </c>
      <c r="G23" s="86" t="s">
        <v>411</v>
      </c>
      <c r="H23" s="86" t="s">
        <v>419</v>
      </c>
      <c r="I23" s="86" t="s">
        <v>413</v>
      </c>
      <c r="J23" s="103" t="s">
        <v>430</v>
      </c>
      <c r="K23" s="104" t="s">
        <v>445</v>
      </c>
      <c r="L23" s="105" t="s">
        <v>492</v>
      </c>
      <c r="M23" s="106">
        <f>D23</f>
        <v>12765</v>
      </c>
      <c r="N23" s="106">
        <f t="shared" si="4"/>
        <v>2553</v>
      </c>
      <c r="O23" s="106">
        <f t="shared" si="5"/>
        <v>15318</v>
      </c>
      <c r="P23" s="23"/>
    </row>
    <row r="24" spans="1:17" ht="63" x14ac:dyDescent="0.25">
      <c r="A24" s="86">
        <v>20</v>
      </c>
      <c r="B24" s="115" t="s">
        <v>486</v>
      </c>
      <c r="C24" s="116" t="s">
        <v>481</v>
      </c>
      <c r="D24" s="101">
        <v>286020</v>
      </c>
      <c r="E24" s="23" t="s">
        <v>493</v>
      </c>
      <c r="F24" s="23" t="s">
        <v>135</v>
      </c>
      <c r="G24" s="102" t="s">
        <v>411</v>
      </c>
      <c r="H24" s="23" t="s">
        <v>419</v>
      </c>
      <c r="I24" s="23" t="s">
        <v>413</v>
      </c>
      <c r="J24" s="103" t="s">
        <v>430</v>
      </c>
      <c r="K24" s="117" t="s">
        <v>494</v>
      </c>
      <c r="L24" s="105" t="s">
        <v>495</v>
      </c>
      <c r="M24" s="118">
        <v>222036.88</v>
      </c>
      <c r="N24" s="119">
        <f t="shared" si="4"/>
        <v>44407.376000000004</v>
      </c>
      <c r="O24" s="119">
        <f t="shared" si="5"/>
        <v>266444.25599999999</v>
      </c>
      <c r="P24" s="23"/>
    </row>
    <row r="25" spans="1:17" ht="63" x14ac:dyDescent="0.25">
      <c r="A25" s="86">
        <v>21</v>
      </c>
      <c r="B25" s="115" t="s">
        <v>486</v>
      </c>
      <c r="C25" s="116" t="s">
        <v>481</v>
      </c>
      <c r="D25" s="101">
        <v>0</v>
      </c>
      <c r="E25" s="23" t="s">
        <v>493</v>
      </c>
      <c r="F25" s="23" t="s">
        <v>135</v>
      </c>
      <c r="G25" s="102" t="s">
        <v>411</v>
      </c>
      <c r="H25" s="23" t="s">
        <v>419</v>
      </c>
      <c r="I25" s="23" t="s">
        <v>413</v>
      </c>
      <c r="J25" s="103" t="s">
        <v>430</v>
      </c>
      <c r="K25" s="117" t="s">
        <v>496</v>
      </c>
      <c r="L25" s="105" t="s">
        <v>495</v>
      </c>
      <c r="M25" s="118">
        <v>75997.34</v>
      </c>
      <c r="N25" s="119">
        <f t="shared" si="4"/>
        <v>15199.468000000001</v>
      </c>
      <c r="O25" s="119">
        <f t="shared" si="5"/>
        <v>91196.80799999999</v>
      </c>
      <c r="P25" s="23"/>
    </row>
    <row r="26" spans="1:17" ht="63" x14ac:dyDescent="0.25">
      <c r="A26" s="86">
        <v>22</v>
      </c>
      <c r="B26" s="111" t="s">
        <v>497</v>
      </c>
      <c r="C26" s="94" t="s">
        <v>498</v>
      </c>
      <c r="D26" s="89">
        <v>209533</v>
      </c>
      <c r="E26" s="86" t="s">
        <v>499</v>
      </c>
      <c r="F26" s="86" t="s">
        <v>0</v>
      </c>
      <c r="G26" s="86" t="s">
        <v>418</v>
      </c>
      <c r="H26" s="86" t="s">
        <v>419</v>
      </c>
      <c r="I26" s="86" t="s">
        <v>413</v>
      </c>
      <c r="J26" s="107" t="s">
        <v>435</v>
      </c>
      <c r="K26" s="108" t="s">
        <v>500</v>
      </c>
      <c r="L26" s="109" t="s">
        <v>501</v>
      </c>
      <c r="M26" s="110">
        <f>D26</f>
        <v>209533</v>
      </c>
      <c r="N26" s="110">
        <f t="shared" si="4"/>
        <v>41906.600000000006</v>
      </c>
      <c r="O26" s="110">
        <f t="shared" si="5"/>
        <v>251439.6</v>
      </c>
      <c r="P26" s="23"/>
    </row>
    <row r="27" spans="1:17" ht="63" x14ac:dyDescent="0.25">
      <c r="A27" s="86">
        <v>23</v>
      </c>
      <c r="B27" s="111" t="s">
        <v>497</v>
      </c>
      <c r="C27" s="94" t="s">
        <v>502</v>
      </c>
      <c r="D27" s="89">
        <v>209533</v>
      </c>
      <c r="E27" s="86" t="s">
        <v>503</v>
      </c>
      <c r="F27" s="86" t="s">
        <v>0</v>
      </c>
      <c r="G27" s="86" t="s">
        <v>418</v>
      </c>
      <c r="H27" s="86" t="s">
        <v>419</v>
      </c>
      <c r="I27" s="86" t="s">
        <v>413</v>
      </c>
      <c r="J27" s="107" t="s">
        <v>435</v>
      </c>
      <c r="K27" s="108" t="s">
        <v>500</v>
      </c>
      <c r="L27" s="109" t="s">
        <v>504</v>
      </c>
      <c r="M27" s="110">
        <f t="shared" ref="M27:M29" si="6">D27</f>
        <v>209533</v>
      </c>
      <c r="N27" s="110">
        <f t="shared" si="4"/>
        <v>41906.600000000006</v>
      </c>
      <c r="O27" s="110">
        <f t="shared" si="5"/>
        <v>251439.6</v>
      </c>
      <c r="P27" s="23"/>
    </row>
    <row r="28" spans="1:17" ht="63" x14ac:dyDescent="0.25">
      <c r="A28" s="86">
        <v>24</v>
      </c>
      <c r="B28" s="111" t="s">
        <v>497</v>
      </c>
      <c r="C28" s="94" t="s">
        <v>505</v>
      </c>
      <c r="D28" s="89">
        <v>84156</v>
      </c>
      <c r="E28" s="86" t="s">
        <v>506</v>
      </c>
      <c r="F28" s="86" t="s">
        <v>0</v>
      </c>
      <c r="G28" s="86" t="s">
        <v>418</v>
      </c>
      <c r="H28" s="86" t="s">
        <v>419</v>
      </c>
      <c r="I28" s="86" t="s">
        <v>413</v>
      </c>
      <c r="J28" s="107" t="s">
        <v>435</v>
      </c>
      <c r="K28" s="108" t="s">
        <v>507</v>
      </c>
      <c r="L28" s="109" t="s">
        <v>508</v>
      </c>
      <c r="M28" s="110">
        <f t="shared" si="6"/>
        <v>84156</v>
      </c>
      <c r="N28" s="110">
        <f t="shared" si="4"/>
        <v>16831.2</v>
      </c>
      <c r="O28" s="110">
        <f t="shared" si="5"/>
        <v>100987.2</v>
      </c>
      <c r="P28" s="23"/>
    </row>
    <row r="29" spans="1:17" ht="63" x14ac:dyDescent="0.25">
      <c r="A29" s="86">
        <v>25</v>
      </c>
      <c r="B29" s="111" t="s">
        <v>497</v>
      </c>
      <c r="C29" s="94" t="s">
        <v>509</v>
      </c>
      <c r="D29" s="89">
        <v>12765</v>
      </c>
      <c r="E29" s="86" t="s">
        <v>510</v>
      </c>
      <c r="F29" s="86" t="s">
        <v>0</v>
      </c>
      <c r="G29" s="86" t="s">
        <v>418</v>
      </c>
      <c r="H29" s="86" t="s">
        <v>419</v>
      </c>
      <c r="I29" s="86" t="s">
        <v>413</v>
      </c>
      <c r="J29" s="107" t="s">
        <v>435</v>
      </c>
      <c r="K29" s="108" t="s">
        <v>511</v>
      </c>
      <c r="L29" s="109" t="s">
        <v>512</v>
      </c>
      <c r="M29" s="110">
        <f t="shared" si="6"/>
        <v>12765</v>
      </c>
      <c r="N29" s="110">
        <f t="shared" si="4"/>
        <v>2553</v>
      </c>
      <c r="O29" s="110">
        <f t="shared" si="5"/>
        <v>15318</v>
      </c>
      <c r="P29" s="23"/>
    </row>
    <row r="30" spans="1:17" ht="63" x14ac:dyDescent="0.25">
      <c r="A30" s="86">
        <v>26</v>
      </c>
      <c r="B30" s="111" t="s">
        <v>513</v>
      </c>
      <c r="C30" s="94" t="s">
        <v>514</v>
      </c>
      <c r="D30" s="89">
        <v>12765</v>
      </c>
      <c r="E30" s="86" t="s">
        <v>515</v>
      </c>
      <c r="F30" s="86" t="s">
        <v>136</v>
      </c>
      <c r="G30" s="86" t="s">
        <v>411</v>
      </c>
      <c r="H30" s="86" t="s">
        <v>419</v>
      </c>
      <c r="I30" s="86" t="s">
        <v>413</v>
      </c>
      <c r="J30" s="103" t="s">
        <v>430</v>
      </c>
      <c r="K30" s="104" t="s">
        <v>458</v>
      </c>
      <c r="L30" s="105" t="s">
        <v>516</v>
      </c>
      <c r="M30" s="106">
        <f>D30</f>
        <v>12765</v>
      </c>
      <c r="N30" s="106">
        <f t="shared" si="4"/>
        <v>2553</v>
      </c>
      <c r="O30" s="106">
        <f t="shared" si="5"/>
        <v>15318</v>
      </c>
      <c r="P30" s="27"/>
    </row>
    <row r="31" spans="1:17" ht="63" x14ac:dyDescent="0.25">
      <c r="A31" s="86">
        <v>27</v>
      </c>
      <c r="B31" s="111" t="s">
        <v>517</v>
      </c>
      <c r="C31" s="94" t="s">
        <v>518</v>
      </c>
      <c r="D31" s="89">
        <v>84156</v>
      </c>
      <c r="E31" s="86" t="s">
        <v>519</v>
      </c>
      <c r="F31" s="86" t="s">
        <v>136</v>
      </c>
      <c r="G31" s="86" t="s">
        <v>411</v>
      </c>
      <c r="H31" s="86" t="s">
        <v>419</v>
      </c>
      <c r="I31" s="86" t="s">
        <v>413</v>
      </c>
      <c r="J31" s="103" t="s">
        <v>430</v>
      </c>
      <c r="K31" s="104" t="s">
        <v>500</v>
      </c>
      <c r="L31" s="105" t="s">
        <v>520</v>
      </c>
      <c r="M31" s="106">
        <f>D31</f>
        <v>84156</v>
      </c>
      <c r="N31" s="106">
        <f t="shared" si="4"/>
        <v>16831.2</v>
      </c>
      <c r="O31" s="106">
        <f t="shared" si="5"/>
        <v>100987.2</v>
      </c>
      <c r="P31" s="23"/>
    </row>
    <row r="32" spans="1:17" ht="63" x14ac:dyDescent="0.25">
      <c r="A32" s="86">
        <v>28</v>
      </c>
      <c r="B32" s="115" t="s">
        <v>517</v>
      </c>
      <c r="C32" s="116" t="s">
        <v>481</v>
      </c>
      <c r="D32" s="101">
        <v>286020</v>
      </c>
      <c r="E32" s="23" t="s">
        <v>521</v>
      </c>
      <c r="F32" s="23" t="s">
        <v>136</v>
      </c>
      <c r="G32" s="102" t="s">
        <v>411</v>
      </c>
      <c r="H32" s="23" t="s">
        <v>419</v>
      </c>
      <c r="I32" s="23" t="s">
        <v>413</v>
      </c>
      <c r="J32" s="103" t="s">
        <v>430</v>
      </c>
      <c r="K32" s="117" t="s">
        <v>507</v>
      </c>
      <c r="L32" s="105" t="s">
        <v>522</v>
      </c>
      <c r="M32" s="118">
        <v>125965.71</v>
      </c>
      <c r="N32" s="119">
        <f t="shared" si="4"/>
        <v>25193.142000000003</v>
      </c>
      <c r="O32" s="119">
        <f t="shared" si="5"/>
        <v>151158.85200000001</v>
      </c>
      <c r="P32" s="23"/>
      <c r="Q32" s="120"/>
    </row>
    <row r="33" spans="1:17" ht="63" x14ac:dyDescent="0.25">
      <c r="A33" s="86">
        <v>29</v>
      </c>
      <c r="B33" s="115" t="s">
        <v>517</v>
      </c>
      <c r="C33" s="116" t="s">
        <v>481</v>
      </c>
      <c r="D33" s="101">
        <v>0</v>
      </c>
      <c r="E33" s="23" t="s">
        <v>521</v>
      </c>
      <c r="F33" s="23" t="s">
        <v>136</v>
      </c>
      <c r="G33" s="102" t="s">
        <v>411</v>
      </c>
      <c r="H33" s="23" t="s">
        <v>419</v>
      </c>
      <c r="I33" s="23" t="s">
        <v>413</v>
      </c>
      <c r="J33" s="103" t="s">
        <v>430</v>
      </c>
      <c r="K33" s="117" t="s">
        <v>523</v>
      </c>
      <c r="L33" s="105" t="s">
        <v>522</v>
      </c>
      <c r="M33" s="118">
        <v>83802.7</v>
      </c>
      <c r="N33" s="119">
        <f t="shared" si="4"/>
        <v>16760.54</v>
      </c>
      <c r="O33" s="119">
        <f t="shared" si="5"/>
        <v>100563.23999999999</v>
      </c>
      <c r="P33" s="23"/>
      <c r="Q33" s="120"/>
    </row>
    <row r="34" spans="1:17" ht="63" x14ac:dyDescent="0.25">
      <c r="A34" s="86">
        <v>30</v>
      </c>
      <c r="B34" s="111" t="s">
        <v>524</v>
      </c>
      <c r="C34" s="94" t="s">
        <v>525</v>
      </c>
      <c r="D34" s="89">
        <v>84156</v>
      </c>
      <c r="E34" s="86" t="s">
        <v>526</v>
      </c>
      <c r="F34" s="86" t="s">
        <v>1</v>
      </c>
      <c r="G34" s="86" t="s">
        <v>418</v>
      </c>
      <c r="H34" s="86" t="s">
        <v>419</v>
      </c>
      <c r="I34" s="86" t="s">
        <v>413</v>
      </c>
      <c r="J34" s="103" t="s">
        <v>430</v>
      </c>
      <c r="K34" s="104" t="s">
        <v>527</v>
      </c>
      <c r="L34" s="105" t="s">
        <v>528</v>
      </c>
      <c r="M34" s="106">
        <f>D34</f>
        <v>84156</v>
      </c>
      <c r="N34" s="106">
        <f t="shared" si="4"/>
        <v>16831.2</v>
      </c>
      <c r="O34" s="106">
        <f t="shared" si="5"/>
        <v>100987.2</v>
      </c>
      <c r="P34" s="27"/>
    </row>
    <row r="35" spans="1:17" ht="63" x14ac:dyDescent="0.25">
      <c r="A35" s="86">
        <v>31</v>
      </c>
      <c r="B35" s="111" t="s">
        <v>524</v>
      </c>
      <c r="C35" s="94" t="s">
        <v>529</v>
      </c>
      <c r="D35" s="89">
        <v>12765</v>
      </c>
      <c r="E35" s="86" t="s">
        <v>530</v>
      </c>
      <c r="F35" s="86" t="s">
        <v>1</v>
      </c>
      <c r="G35" s="86" t="s">
        <v>418</v>
      </c>
      <c r="H35" s="86" t="s">
        <v>419</v>
      </c>
      <c r="I35" s="86" t="s">
        <v>413</v>
      </c>
      <c r="J35" s="103" t="s">
        <v>430</v>
      </c>
      <c r="K35" s="104" t="s">
        <v>531</v>
      </c>
      <c r="L35" s="105" t="s">
        <v>532</v>
      </c>
      <c r="M35" s="106">
        <f>D35</f>
        <v>12765</v>
      </c>
      <c r="N35" s="106">
        <f t="shared" si="4"/>
        <v>2553</v>
      </c>
      <c r="O35" s="106">
        <f t="shared" si="5"/>
        <v>15318</v>
      </c>
      <c r="P35" s="27"/>
    </row>
    <row r="36" spans="1:17" ht="63" x14ac:dyDescent="0.25">
      <c r="A36" s="86">
        <v>32</v>
      </c>
      <c r="B36" s="115" t="s">
        <v>524</v>
      </c>
      <c r="C36" s="116" t="s">
        <v>481</v>
      </c>
      <c r="D36" s="101">
        <v>286020</v>
      </c>
      <c r="E36" s="23" t="s">
        <v>533</v>
      </c>
      <c r="F36" s="23" t="s">
        <v>1</v>
      </c>
      <c r="G36" s="102" t="s">
        <v>418</v>
      </c>
      <c r="H36" s="23" t="s">
        <v>419</v>
      </c>
      <c r="I36" s="23" t="s">
        <v>413</v>
      </c>
      <c r="J36" s="103" t="s">
        <v>430</v>
      </c>
      <c r="K36" s="117" t="s">
        <v>534</v>
      </c>
      <c r="L36" s="105" t="s">
        <v>535</v>
      </c>
      <c r="M36" s="118">
        <v>125965.71</v>
      </c>
      <c r="N36" s="119">
        <f t="shared" si="4"/>
        <v>25193.142000000003</v>
      </c>
      <c r="O36" s="119">
        <f t="shared" si="5"/>
        <v>151158.85200000001</v>
      </c>
      <c r="P36" s="23"/>
    </row>
    <row r="37" spans="1:17" ht="63" x14ac:dyDescent="0.25">
      <c r="A37" s="86">
        <v>33</v>
      </c>
      <c r="B37" s="115" t="s">
        <v>524</v>
      </c>
      <c r="C37" s="116" t="s">
        <v>481</v>
      </c>
      <c r="D37" s="101">
        <v>0</v>
      </c>
      <c r="E37" s="23" t="s">
        <v>533</v>
      </c>
      <c r="F37" s="23" t="s">
        <v>1</v>
      </c>
      <c r="G37" s="102" t="s">
        <v>418</v>
      </c>
      <c r="H37" s="23" t="s">
        <v>419</v>
      </c>
      <c r="I37" s="23" t="s">
        <v>413</v>
      </c>
      <c r="J37" s="103" t="s">
        <v>430</v>
      </c>
      <c r="K37" s="117" t="s">
        <v>536</v>
      </c>
      <c r="L37" s="105" t="s">
        <v>535</v>
      </c>
      <c r="M37" s="118">
        <v>83802.7</v>
      </c>
      <c r="N37" s="119">
        <f t="shared" si="4"/>
        <v>16760.54</v>
      </c>
      <c r="O37" s="119">
        <f t="shared" si="5"/>
        <v>100563.23999999999</v>
      </c>
      <c r="P37" s="23"/>
    </row>
    <row r="38" spans="1:17" ht="63" x14ac:dyDescent="0.25">
      <c r="A38" s="86">
        <v>34</v>
      </c>
      <c r="B38" s="111" t="s">
        <v>537</v>
      </c>
      <c r="C38" s="94" t="s">
        <v>538</v>
      </c>
      <c r="D38" s="89">
        <v>84156</v>
      </c>
      <c r="E38" s="86" t="s">
        <v>539</v>
      </c>
      <c r="F38" s="86" t="s">
        <v>2</v>
      </c>
      <c r="G38" s="86" t="s">
        <v>418</v>
      </c>
      <c r="H38" s="86" t="s">
        <v>419</v>
      </c>
      <c r="I38" s="86" t="s">
        <v>413</v>
      </c>
      <c r="J38" s="103" t="s">
        <v>430</v>
      </c>
      <c r="K38" s="104" t="s">
        <v>540</v>
      </c>
      <c r="L38" s="105" t="s">
        <v>541</v>
      </c>
      <c r="M38" s="106">
        <f>D38</f>
        <v>84156</v>
      </c>
      <c r="N38" s="106">
        <f t="shared" si="4"/>
        <v>16831.2</v>
      </c>
      <c r="O38" s="106">
        <f t="shared" si="5"/>
        <v>100987.2</v>
      </c>
      <c r="P38" s="27"/>
    </row>
    <row r="39" spans="1:17" ht="63" x14ac:dyDescent="0.25">
      <c r="A39" s="86">
        <v>35</v>
      </c>
      <c r="B39" s="111" t="s">
        <v>537</v>
      </c>
      <c r="C39" s="94" t="s">
        <v>542</v>
      </c>
      <c r="D39" s="89">
        <v>12765</v>
      </c>
      <c r="E39" s="86" t="s">
        <v>543</v>
      </c>
      <c r="F39" s="86" t="s">
        <v>2</v>
      </c>
      <c r="G39" s="86" t="s">
        <v>418</v>
      </c>
      <c r="H39" s="86" t="s">
        <v>419</v>
      </c>
      <c r="I39" s="86" t="s">
        <v>413</v>
      </c>
      <c r="J39" s="103" t="s">
        <v>430</v>
      </c>
      <c r="K39" s="104" t="s">
        <v>544</v>
      </c>
      <c r="L39" s="105" t="s">
        <v>545</v>
      </c>
      <c r="M39" s="106">
        <f>D39</f>
        <v>12765</v>
      </c>
      <c r="N39" s="106">
        <f t="shared" si="4"/>
        <v>2553</v>
      </c>
      <c r="O39" s="106">
        <f t="shared" si="5"/>
        <v>15318</v>
      </c>
      <c r="P39" s="27"/>
    </row>
    <row r="40" spans="1:17" ht="63" x14ac:dyDescent="0.25">
      <c r="A40" s="86">
        <v>36</v>
      </c>
      <c r="B40" s="115" t="s">
        <v>537</v>
      </c>
      <c r="C40" s="116" t="s">
        <v>481</v>
      </c>
      <c r="D40" s="101">
        <v>286020</v>
      </c>
      <c r="E40" s="23" t="s">
        <v>546</v>
      </c>
      <c r="F40" s="23" t="s">
        <v>2</v>
      </c>
      <c r="G40" s="102" t="s">
        <v>418</v>
      </c>
      <c r="H40" s="23" t="s">
        <v>419</v>
      </c>
      <c r="I40" s="23" t="s">
        <v>413</v>
      </c>
      <c r="J40" s="103" t="s">
        <v>430</v>
      </c>
      <c r="K40" s="117" t="s">
        <v>547</v>
      </c>
      <c r="L40" s="105" t="s">
        <v>548</v>
      </c>
      <c r="M40" s="118">
        <v>125965.71</v>
      </c>
      <c r="N40" s="119">
        <f t="shared" si="4"/>
        <v>25193.142000000003</v>
      </c>
      <c r="O40" s="119">
        <f t="shared" si="5"/>
        <v>151158.85200000001</v>
      </c>
      <c r="P40" s="23"/>
    </row>
    <row r="41" spans="1:17" ht="63" x14ac:dyDescent="0.25">
      <c r="A41" s="86">
        <v>37</v>
      </c>
      <c r="B41" s="115" t="s">
        <v>537</v>
      </c>
      <c r="C41" s="116" t="s">
        <v>481</v>
      </c>
      <c r="D41" s="101">
        <v>0</v>
      </c>
      <c r="E41" s="23" t="s">
        <v>546</v>
      </c>
      <c r="F41" s="23" t="s">
        <v>2</v>
      </c>
      <c r="G41" s="102" t="s">
        <v>418</v>
      </c>
      <c r="H41" s="23" t="s">
        <v>419</v>
      </c>
      <c r="I41" s="23" t="s">
        <v>413</v>
      </c>
      <c r="J41" s="103" t="s">
        <v>430</v>
      </c>
      <c r="K41" s="117" t="s">
        <v>549</v>
      </c>
      <c r="L41" s="105" t="s">
        <v>548</v>
      </c>
      <c r="M41" s="118">
        <v>83802.7</v>
      </c>
      <c r="N41" s="119">
        <f t="shared" si="4"/>
        <v>16760.54</v>
      </c>
      <c r="O41" s="119">
        <f t="shared" si="5"/>
        <v>100563.23999999999</v>
      </c>
      <c r="P41" s="23"/>
    </row>
    <row r="42" spans="1:17" ht="63" x14ac:dyDescent="0.25">
      <c r="A42" s="86">
        <v>38</v>
      </c>
      <c r="B42" s="111" t="s">
        <v>550</v>
      </c>
      <c r="C42" s="94" t="s">
        <v>551</v>
      </c>
      <c r="D42" s="89">
        <v>209533</v>
      </c>
      <c r="E42" s="86" t="s">
        <v>552</v>
      </c>
      <c r="F42" s="86" t="s">
        <v>135</v>
      </c>
      <c r="G42" s="86" t="s">
        <v>411</v>
      </c>
      <c r="H42" s="86" t="s">
        <v>419</v>
      </c>
      <c r="I42" s="86" t="s">
        <v>413</v>
      </c>
      <c r="J42" s="103" t="s">
        <v>430</v>
      </c>
      <c r="K42" s="104" t="s">
        <v>553</v>
      </c>
      <c r="L42" s="105" t="s">
        <v>554</v>
      </c>
      <c r="M42" s="106">
        <f>D42</f>
        <v>209533</v>
      </c>
      <c r="N42" s="106">
        <f t="shared" si="4"/>
        <v>41906.600000000006</v>
      </c>
      <c r="O42" s="106">
        <f t="shared" si="5"/>
        <v>251439.6</v>
      </c>
      <c r="P42" s="23"/>
    </row>
    <row r="43" spans="1:17" ht="63" x14ac:dyDescent="0.25">
      <c r="A43" s="86">
        <v>39</v>
      </c>
      <c r="B43" s="111" t="s">
        <v>550</v>
      </c>
      <c r="C43" s="94" t="s">
        <v>555</v>
      </c>
      <c r="D43" s="89">
        <v>209533</v>
      </c>
      <c r="E43" s="86" t="s">
        <v>556</v>
      </c>
      <c r="F43" s="86" t="s">
        <v>133</v>
      </c>
      <c r="G43" s="86" t="s">
        <v>557</v>
      </c>
      <c r="H43" s="86" t="s">
        <v>419</v>
      </c>
      <c r="I43" s="86" t="s">
        <v>413</v>
      </c>
      <c r="J43" s="103" t="s">
        <v>430</v>
      </c>
      <c r="K43" s="104" t="s">
        <v>553</v>
      </c>
      <c r="L43" s="105" t="s">
        <v>558</v>
      </c>
      <c r="M43" s="106">
        <f t="shared" ref="M43:M45" si="7">D43</f>
        <v>209533</v>
      </c>
      <c r="N43" s="106">
        <f t="shared" si="4"/>
        <v>41906.600000000006</v>
      </c>
      <c r="O43" s="106">
        <f t="shared" si="5"/>
        <v>251439.6</v>
      </c>
      <c r="P43" s="23"/>
    </row>
    <row r="44" spans="1:17" ht="63" x14ac:dyDescent="0.25">
      <c r="A44" s="86">
        <v>40</v>
      </c>
      <c r="B44" s="111" t="s">
        <v>550</v>
      </c>
      <c r="C44" s="94" t="s">
        <v>559</v>
      </c>
      <c r="D44" s="89">
        <v>84156</v>
      </c>
      <c r="E44" s="86" t="s">
        <v>560</v>
      </c>
      <c r="F44" s="86" t="s">
        <v>136</v>
      </c>
      <c r="G44" s="86" t="s">
        <v>411</v>
      </c>
      <c r="H44" s="86" t="s">
        <v>419</v>
      </c>
      <c r="I44" s="86" t="s">
        <v>413</v>
      </c>
      <c r="J44" s="103" t="s">
        <v>430</v>
      </c>
      <c r="K44" s="104" t="s">
        <v>561</v>
      </c>
      <c r="L44" s="105" t="s">
        <v>562</v>
      </c>
      <c r="M44" s="106">
        <f t="shared" si="7"/>
        <v>84156</v>
      </c>
      <c r="N44" s="106">
        <f t="shared" si="4"/>
        <v>16831.2</v>
      </c>
      <c r="O44" s="106">
        <f t="shared" si="5"/>
        <v>100987.2</v>
      </c>
      <c r="P44" s="27"/>
    </row>
    <row r="45" spans="1:17" ht="63" x14ac:dyDescent="0.25">
      <c r="A45" s="86">
        <v>41</v>
      </c>
      <c r="B45" s="111" t="s">
        <v>563</v>
      </c>
      <c r="C45" s="94" t="s">
        <v>564</v>
      </c>
      <c r="D45" s="89">
        <v>97257</v>
      </c>
      <c r="E45" s="86" t="s">
        <v>565</v>
      </c>
      <c r="F45" s="86" t="s">
        <v>136</v>
      </c>
      <c r="G45" s="86" t="s">
        <v>411</v>
      </c>
      <c r="H45" s="86" t="s">
        <v>419</v>
      </c>
      <c r="I45" s="86" t="s">
        <v>413</v>
      </c>
      <c r="J45" s="103" t="s">
        <v>430</v>
      </c>
      <c r="K45" s="104" t="s">
        <v>566</v>
      </c>
      <c r="L45" s="105" t="s">
        <v>567</v>
      </c>
      <c r="M45" s="106">
        <f t="shared" si="7"/>
        <v>97257</v>
      </c>
      <c r="N45" s="106">
        <f t="shared" si="4"/>
        <v>19451.400000000001</v>
      </c>
      <c r="O45" s="106">
        <f t="shared" si="5"/>
        <v>116708.4</v>
      </c>
      <c r="P45" s="23"/>
    </row>
    <row r="46" spans="1:17" ht="30" x14ac:dyDescent="0.25">
      <c r="A46" s="86">
        <v>42</v>
      </c>
      <c r="B46" s="111" t="s">
        <v>563</v>
      </c>
      <c r="C46" s="94" t="s">
        <v>568</v>
      </c>
      <c r="D46" s="89"/>
      <c r="E46" s="86"/>
      <c r="F46" s="86"/>
      <c r="G46" s="86"/>
      <c r="H46" s="86"/>
      <c r="I46" s="86" t="s">
        <v>413</v>
      </c>
      <c r="J46" s="103" t="s">
        <v>430</v>
      </c>
      <c r="K46" s="117" t="s">
        <v>569</v>
      </c>
      <c r="L46" s="105"/>
      <c r="M46" s="118">
        <v>59327</v>
      </c>
      <c r="N46" s="118">
        <f>M46*0.2</f>
        <v>11865.400000000001</v>
      </c>
      <c r="O46" s="118">
        <f>M46+N46</f>
        <v>71192.399999999994</v>
      </c>
      <c r="P46" s="23"/>
    </row>
    <row r="47" spans="1:17" ht="30" x14ac:dyDescent="0.25">
      <c r="A47" s="86">
        <v>43</v>
      </c>
      <c r="B47" s="111" t="s">
        <v>563</v>
      </c>
      <c r="C47" s="94" t="s">
        <v>570</v>
      </c>
      <c r="D47" s="89"/>
      <c r="E47" s="86"/>
      <c r="F47" s="86"/>
      <c r="G47" s="86"/>
      <c r="H47" s="86"/>
      <c r="I47" s="86" t="s">
        <v>413</v>
      </c>
      <c r="J47" s="103" t="s">
        <v>430</v>
      </c>
      <c r="K47" s="117" t="s">
        <v>571</v>
      </c>
      <c r="L47" s="105"/>
      <c r="M47" s="118">
        <v>23324</v>
      </c>
      <c r="N47" s="118">
        <f>M47*0.2</f>
        <v>4664.8</v>
      </c>
      <c r="O47" s="118">
        <f>M47+N47</f>
        <v>27988.799999999999</v>
      </c>
      <c r="P47" s="23"/>
    </row>
    <row r="48" spans="1:17" ht="63" x14ac:dyDescent="0.25">
      <c r="A48" s="86">
        <v>44</v>
      </c>
      <c r="B48" s="111" t="s">
        <v>572</v>
      </c>
      <c r="C48" s="94" t="s">
        <v>573</v>
      </c>
      <c r="D48" s="89">
        <v>12765</v>
      </c>
      <c r="E48" s="86" t="s">
        <v>574</v>
      </c>
      <c r="F48" s="86" t="s">
        <v>133</v>
      </c>
      <c r="G48" s="86" t="s">
        <v>557</v>
      </c>
      <c r="H48" s="86" t="s">
        <v>419</v>
      </c>
      <c r="I48" s="86" t="s">
        <v>413</v>
      </c>
      <c r="J48" s="107" t="s">
        <v>435</v>
      </c>
      <c r="K48" s="108" t="s">
        <v>575</v>
      </c>
      <c r="L48" s="109" t="s">
        <v>576</v>
      </c>
      <c r="M48" s="110">
        <f>D48</f>
        <v>12765</v>
      </c>
      <c r="N48" s="110">
        <f t="shared" si="4"/>
        <v>2553</v>
      </c>
      <c r="O48" s="110">
        <f t="shared" si="5"/>
        <v>15318</v>
      </c>
      <c r="P48" s="23"/>
    </row>
    <row r="49" spans="1:19" ht="63" x14ac:dyDescent="0.25">
      <c r="A49" s="86">
        <v>45</v>
      </c>
      <c r="B49" s="111" t="s">
        <v>572</v>
      </c>
      <c r="C49" s="94" t="s">
        <v>456</v>
      </c>
      <c r="D49" s="89">
        <v>286020</v>
      </c>
      <c r="E49" s="86" t="s">
        <v>577</v>
      </c>
      <c r="F49" s="86" t="s">
        <v>2</v>
      </c>
      <c r="G49" s="86" t="s">
        <v>418</v>
      </c>
      <c r="H49" s="86" t="s">
        <v>419</v>
      </c>
      <c r="I49" s="86" t="s">
        <v>413</v>
      </c>
      <c r="J49" s="107" t="s">
        <v>435</v>
      </c>
      <c r="K49" s="112" t="s">
        <v>578</v>
      </c>
      <c r="L49" s="109" t="s">
        <v>579</v>
      </c>
      <c r="M49" s="113">
        <v>160042.57999999999</v>
      </c>
      <c r="N49" s="113">
        <f t="shared" si="4"/>
        <v>32008.516</v>
      </c>
      <c r="O49" s="113">
        <f t="shared" si="5"/>
        <v>192051.09599999999</v>
      </c>
      <c r="P49" s="23"/>
    </row>
    <row r="50" spans="1:19" ht="63" x14ac:dyDescent="0.25">
      <c r="A50" s="86">
        <v>46</v>
      </c>
      <c r="B50" s="111" t="s">
        <v>572</v>
      </c>
      <c r="C50" s="94" t="s">
        <v>481</v>
      </c>
      <c r="D50" s="89">
        <v>0</v>
      </c>
      <c r="E50" s="86" t="s">
        <v>577</v>
      </c>
      <c r="F50" s="86" t="s">
        <v>2</v>
      </c>
      <c r="G50" s="86" t="s">
        <v>418</v>
      </c>
      <c r="H50" s="86" t="s">
        <v>419</v>
      </c>
      <c r="I50" s="86" t="s">
        <v>413</v>
      </c>
      <c r="J50" s="107" t="s">
        <v>435</v>
      </c>
      <c r="K50" s="112" t="s">
        <v>580</v>
      </c>
      <c r="L50" s="109" t="s">
        <v>579</v>
      </c>
      <c r="M50" s="113">
        <v>83802.7</v>
      </c>
      <c r="N50" s="113">
        <f t="shared" si="4"/>
        <v>16760.54</v>
      </c>
      <c r="O50" s="113">
        <f t="shared" si="5"/>
        <v>100563.23999999999</v>
      </c>
      <c r="P50" s="23"/>
    </row>
    <row r="51" spans="1:19" ht="30" x14ac:dyDescent="0.25">
      <c r="A51" s="86">
        <v>47</v>
      </c>
      <c r="B51" s="111" t="s">
        <v>572</v>
      </c>
      <c r="C51" s="94" t="s">
        <v>581</v>
      </c>
      <c r="D51" s="89"/>
      <c r="E51" s="86"/>
      <c r="F51" s="86"/>
      <c r="G51" s="86"/>
      <c r="H51" s="86" t="s">
        <v>582</v>
      </c>
      <c r="I51" s="86" t="s">
        <v>413</v>
      </c>
      <c r="J51" s="107" t="s">
        <v>435</v>
      </c>
      <c r="K51" s="121" t="s">
        <v>583</v>
      </c>
      <c r="L51" s="109"/>
      <c r="M51" s="122">
        <v>52530</v>
      </c>
      <c r="N51" s="122">
        <f t="shared" si="4"/>
        <v>10506</v>
      </c>
      <c r="O51" s="122">
        <f t="shared" si="5"/>
        <v>63036</v>
      </c>
      <c r="P51" s="23"/>
    </row>
    <row r="52" spans="1:19" ht="30" x14ac:dyDescent="0.25">
      <c r="A52" s="86">
        <v>48</v>
      </c>
      <c r="B52" s="111" t="s">
        <v>572</v>
      </c>
      <c r="C52" s="94" t="s">
        <v>584</v>
      </c>
      <c r="D52" s="89"/>
      <c r="E52" s="86"/>
      <c r="F52" s="86"/>
      <c r="G52" s="86"/>
      <c r="H52" s="86" t="s">
        <v>582</v>
      </c>
      <c r="I52" s="86" t="s">
        <v>413</v>
      </c>
      <c r="J52" s="107" t="s">
        <v>435</v>
      </c>
      <c r="K52" s="121" t="s">
        <v>585</v>
      </c>
      <c r="L52" s="109"/>
      <c r="M52" s="122">
        <v>23324</v>
      </c>
      <c r="N52" s="122">
        <f t="shared" si="4"/>
        <v>4664.8</v>
      </c>
      <c r="O52" s="122">
        <f t="shared" si="5"/>
        <v>27988.799999999999</v>
      </c>
      <c r="P52" s="23"/>
    </row>
    <row r="53" spans="1:19" ht="30" x14ac:dyDescent="0.25">
      <c r="A53" s="86">
        <v>49</v>
      </c>
      <c r="B53" s="111" t="s">
        <v>572</v>
      </c>
      <c r="C53" s="94" t="s">
        <v>586</v>
      </c>
      <c r="D53" s="89"/>
      <c r="E53" s="86"/>
      <c r="F53" s="86"/>
      <c r="G53" s="86"/>
      <c r="H53" s="86" t="s">
        <v>582</v>
      </c>
      <c r="I53" s="86" t="s">
        <v>413</v>
      </c>
      <c r="J53" s="107" t="s">
        <v>435</v>
      </c>
      <c r="K53" s="121" t="s">
        <v>587</v>
      </c>
      <c r="L53" s="109"/>
      <c r="M53" s="122">
        <v>52530</v>
      </c>
      <c r="N53" s="122">
        <f t="shared" si="4"/>
        <v>10506</v>
      </c>
      <c r="O53" s="122">
        <f t="shared" si="5"/>
        <v>63036</v>
      </c>
      <c r="P53" s="23"/>
    </row>
    <row r="54" spans="1:19" ht="30" x14ac:dyDescent="0.25">
      <c r="A54" s="86">
        <v>50</v>
      </c>
      <c r="B54" s="111" t="s">
        <v>572</v>
      </c>
      <c r="C54" s="94" t="s">
        <v>588</v>
      </c>
      <c r="D54" s="89"/>
      <c r="E54" s="86"/>
      <c r="F54" s="86"/>
      <c r="G54" s="86"/>
      <c r="H54" s="86" t="s">
        <v>582</v>
      </c>
      <c r="I54" s="86" t="s">
        <v>413</v>
      </c>
      <c r="J54" s="107" t="s">
        <v>435</v>
      </c>
      <c r="K54" s="121" t="s">
        <v>589</v>
      </c>
      <c r="L54" s="109"/>
      <c r="M54" s="122">
        <v>23324</v>
      </c>
      <c r="N54" s="122">
        <f t="shared" si="4"/>
        <v>4664.8</v>
      </c>
      <c r="O54" s="122">
        <f t="shared" si="5"/>
        <v>27988.799999999999</v>
      </c>
      <c r="P54" s="23"/>
    </row>
    <row r="55" spans="1:19" ht="30" x14ac:dyDescent="0.25">
      <c r="A55" s="86">
        <v>51</v>
      </c>
      <c r="B55" s="111" t="s">
        <v>572</v>
      </c>
      <c r="C55" s="94" t="s">
        <v>590</v>
      </c>
      <c r="D55" s="89"/>
      <c r="E55" s="86"/>
      <c r="F55" s="86"/>
      <c r="G55" s="86"/>
      <c r="H55" s="86" t="s">
        <v>582</v>
      </c>
      <c r="I55" s="86" t="s">
        <v>413</v>
      </c>
      <c r="J55" s="107" t="s">
        <v>435</v>
      </c>
      <c r="K55" s="121" t="s">
        <v>591</v>
      </c>
      <c r="L55" s="109"/>
      <c r="M55" s="122">
        <v>52530</v>
      </c>
      <c r="N55" s="122">
        <f t="shared" si="4"/>
        <v>10506</v>
      </c>
      <c r="O55" s="122">
        <f t="shared" si="5"/>
        <v>63036</v>
      </c>
      <c r="P55" s="23"/>
    </row>
    <row r="56" spans="1:19" ht="30" x14ac:dyDescent="0.25">
      <c r="A56" s="86">
        <v>52</v>
      </c>
      <c r="B56" s="111" t="s">
        <v>572</v>
      </c>
      <c r="C56" s="94" t="s">
        <v>592</v>
      </c>
      <c r="D56" s="89"/>
      <c r="E56" s="86"/>
      <c r="F56" s="86"/>
      <c r="G56" s="86"/>
      <c r="H56" s="86" t="s">
        <v>582</v>
      </c>
      <c r="I56" s="86" t="s">
        <v>413</v>
      </c>
      <c r="J56" s="107" t="s">
        <v>435</v>
      </c>
      <c r="K56" s="121" t="s">
        <v>593</v>
      </c>
      <c r="L56" s="109"/>
      <c r="M56" s="122">
        <v>23324</v>
      </c>
      <c r="N56" s="122">
        <f t="shared" si="4"/>
        <v>4664.8</v>
      </c>
      <c r="O56" s="122">
        <f t="shared" si="5"/>
        <v>27988.799999999999</v>
      </c>
      <c r="P56" s="23"/>
    </row>
    <row r="57" spans="1:19" ht="63" x14ac:dyDescent="0.25">
      <c r="A57" s="86">
        <v>53</v>
      </c>
      <c r="B57" s="111" t="s">
        <v>594</v>
      </c>
      <c r="C57" s="94" t="s">
        <v>595</v>
      </c>
      <c r="D57" s="89">
        <v>84156</v>
      </c>
      <c r="E57" s="86" t="s">
        <v>596</v>
      </c>
      <c r="F57" s="86" t="s">
        <v>138</v>
      </c>
      <c r="G57" s="86" t="s">
        <v>465</v>
      </c>
      <c r="H57" s="86" t="s">
        <v>419</v>
      </c>
      <c r="I57" s="86" t="s">
        <v>413</v>
      </c>
      <c r="J57" s="103" t="s">
        <v>430</v>
      </c>
      <c r="K57" s="104" t="s">
        <v>597</v>
      </c>
      <c r="L57" s="105" t="s">
        <v>598</v>
      </c>
      <c r="M57" s="106">
        <f>D57</f>
        <v>84156</v>
      </c>
      <c r="N57" s="106">
        <f t="shared" si="4"/>
        <v>16831.2</v>
      </c>
      <c r="O57" s="106">
        <f t="shared" si="5"/>
        <v>100987.2</v>
      </c>
      <c r="P57" s="23"/>
    </row>
    <row r="58" spans="1:19" ht="63" x14ac:dyDescent="0.25">
      <c r="A58" s="86">
        <v>54</v>
      </c>
      <c r="B58" s="111" t="s">
        <v>594</v>
      </c>
      <c r="C58" s="94" t="s">
        <v>599</v>
      </c>
      <c r="D58" s="89">
        <v>12765</v>
      </c>
      <c r="E58" s="86" t="s">
        <v>600</v>
      </c>
      <c r="F58" s="86" t="s">
        <v>138</v>
      </c>
      <c r="G58" s="86" t="s">
        <v>465</v>
      </c>
      <c r="H58" s="86" t="s">
        <v>419</v>
      </c>
      <c r="I58" s="86" t="s">
        <v>413</v>
      </c>
      <c r="J58" s="103" t="s">
        <v>430</v>
      </c>
      <c r="K58" s="104" t="s">
        <v>601</v>
      </c>
      <c r="L58" s="105" t="s">
        <v>602</v>
      </c>
      <c r="M58" s="106">
        <f t="shared" ref="M58:M62" si="8">D58</f>
        <v>12765</v>
      </c>
      <c r="N58" s="106">
        <f t="shared" si="4"/>
        <v>2553</v>
      </c>
      <c r="O58" s="106">
        <f t="shared" si="5"/>
        <v>15318</v>
      </c>
      <c r="P58" s="23"/>
    </row>
    <row r="59" spans="1:19" ht="63" x14ac:dyDescent="0.25">
      <c r="A59" s="86">
        <v>55</v>
      </c>
      <c r="B59" s="111" t="s">
        <v>603</v>
      </c>
      <c r="C59" s="94" t="s">
        <v>604</v>
      </c>
      <c r="D59" s="89">
        <v>84156</v>
      </c>
      <c r="E59" s="86" t="s">
        <v>605</v>
      </c>
      <c r="F59" s="86" t="s">
        <v>138</v>
      </c>
      <c r="G59" s="86" t="s">
        <v>465</v>
      </c>
      <c r="H59" s="86" t="s">
        <v>419</v>
      </c>
      <c r="I59" s="86" t="s">
        <v>413</v>
      </c>
      <c r="J59" s="103" t="s">
        <v>430</v>
      </c>
      <c r="K59" s="104" t="s">
        <v>606</v>
      </c>
      <c r="L59" s="105" t="s">
        <v>607</v>
      </c>
      <c r="M59" s="106">
        <f t="shared" si="8"/>
        <v>84156</v>
      </c>
      <c r="N59" s="106">
        <f t="shared" si="4"/>
        <v>16831.2</v>
      </c>
      <c r="O59" s="106">
        <f t="shared" si="5"/>
        <v>100987.2</v>
      </c>
      <c r="P59" s="27"/>
    </row>
    <row r="60" spans="1:19" ht="63" x14ac:dyDescent="0.25">
      <c r="A60" s="86">
        <v>56</v>
      </c>
      <c r="B60" s="111" t="s">
        <v>603</v>
      </c>
      <c r="C60" s="94" t="s">
        <v>608</v>
      </c>
      <c r="D60" s="89">
        <v>12765</v>
      </c>
      <c r="E60" s="86" t="s">
        <v>609</v>
      </c>
      <c r="F60" s="86" t="s">
        <v>138</v>
      </c>
      <c r="G60" s="86" t="s">
        <v>465</v>
      </c>
      <c r="H60" s="86" t="s">
        <v>419</v>
      </c>
      <c r="I60" s="86" t="s">
        <v>413</v>
      </c>
      <c r="J60" s="103" t="s">
        <v>430</v>
      </c>
      <c r="K60" s="104" t="s">
        <v>610</v>
      </c>
      <c r="L60" s="105" t="s">
        <v>611</v>
      </c>
      <c r="M60" s="106">
        <f t="shared" si="8"/>
        <v>12765</v>
      </c>
      <c r="N60" s="106">
        <f t="shared" si="4"/>
        <v>2553</v>
      </c>
      <c r="O60" s="106">
        <f t="shared" si="5"/>
        <v>15318</v>
      </c>
      <c r="P60" s="27"/>
    </row>
    <row r="61" spans="1:19" ht="63" x14ac:dyDescent="0.25">
      <c r="A61" s="86">
        <v>57</v>
      </c>
      <c r="B61" s="111" t="s">
        <v>612</v>
      </c>
      <c r="C61" s="94" t="s">
        <v>613</v>
      </c>
      <c r="D61" s="89">
        <v>84156</v>
      </c>
      <c r="E61" s="86" t="s">
        <v>614</v>
      </c>
      <c r="F61" s="86" t="s">
        <v>137</v>
      </c>
      <c r="G61" s="86" t="s">
        <v>465</v>
      </c>
      <c r="H61" s="86" t="s">
        <v>419</v>
      </c>
      <c r="I61" s="86" t="s">
        <v>413</v>
      </c>
      <c r="J61" s="103" t="s">
        <v>430</v>
      </c>
      <c r="K61" s="104" t="s">
        <v>615</v>
      </c>
      <c r="L61" s="105" t="s">
        <v>616</v>
      </c>
      <c r="M61" s="106">
        <f t="shared" si="8"/>
        <v>84156</v>
      </c>
      <c r="N61" s="106">
        <f t="shared" si="4"/>
        <v>16831.2</v>
      </c>
      <c r="O61" s="106">
        <f t="shared" si="5"/>
        <v>100987.2</v>
      </c>
      <c r="P61" s="27"/>
    </row>
    <row r="62" spans="1:19" ht="63" x14ac:dyDescent="0.25">
      <c r="A62" s="86">
        <v>58</v>
      </c>
      <c r="B62" s="111" t="s">
        <v>612</v>
      </c>
      <c r="C62" s="94" t="s">
        <v>617</v>
      </c>
      <c r="D62" s="89">
        <v>12765</v>
      </c>
      <c r="E62" s="86" t="s">
        <v>618</v>
      </c>
      <c r="F62" s="86" t="s">
        <v>137</v>
      </c>
      <c r="G62" s="86" t="s">
        <v>465</v>
      </c>
      <c r="H62" s="86" t="s">
        <v>419</v>
      </c>
      <c r="I62" s="86" t="s">
        <v>413</v>
      </c>
      <c r="J62" s="103" t="s">
        <v>430</v>
      </c>
      <c r="K62" s="104" t="s">
        <v>619</v>
      </c>
      <c r="L62" s="105" t="s">
        <v>620</v>
      </c>
      <c r="M62" s="106">
        <f t="shared" si="8"/>
        <v>12765</v>
      </c>
      <c r="N62" s="106">
        <f t="shared" si="4"/>
        <v>2553</v>
      </c>
      <c r="O62" s="106">
        <f t="shared" si="5"/>
        <v>15318</v>
      </c>
      <c r="P62" s="27"/>
      <c r="Q62" s="123" t="s">
        <v>621</v>
      </c>
      <c r="R62" s="23" t="s">
        <v>622</v>
      </c>
      <c r="S62" s="23" t="s">
        <v>623</v>
      </c>
    </row>
    <row r="63" spans="1:19" ht="63" x14ac:dyDescent="0.25">
      <c r="A63" s="86">
        <v>59</v>
      </c>
      <c r="B63" s="111" t="s">
        <v>408</v>
      </c>
      <c r="C63" s="124" t="s">
        <v>624</v>
      </c>
      <c r="D63" s="125">
        <v>1668996</v>
      </c>
      <c r="E63" s="86" t="s">
        <v>625</v>
      </c>
      <c r="F63" s="86" t="s">
        <v>1</v>
      </c>
      <c r="G63" s="86" t="s">
        <v>418</v>
      </c>
      <c r="H63" s="86" t="s">
        <v>419</v>
      </c>
      <c r="I63" s="86" t="s">
        <v>626</v>
      </c>
      <c r="J63" s="126" t="s">
        <v>627</v>
      </c>
      <c r="K63" s="126"/>
      <c r="L63" s="127" t="s">
        <v>628</v>
      </c>
      <c r="M63" s="128"/>
      <c r="N63" s="128"/>
      <c r="O63" s="128"/>
      <c r="P63" s="23"/>
      <c r="Q63" s="129">
        <v>1125825</v>
      </c>
      <c r="R63" s="130">
        <v>930000</v>
      </c>
      <c r="S63" s="130">
        <v>195825</v>
      </c>
    </row>
    <row r="64" spans="1:19" ht="110.25" x14ac:dyDescent="0.25">
      <c r="A64" s="86">
        <v>60</v>
      </c>
      <c r="B64" s="111" t="s">
        <v>629</v>
      </c>
      <c r="C64" s="124" t="s">
        <v>630</v>
      </c>
      <c r="D64" s="125">
        <v>1646743</v>
      </c>
      <c r="E64" s="86" t="s">
        <v>631</v>
      </c>
      <c r="F64" s="86" t="s">
        <v>133</v>
      </c>
      <c r="G64" s="86" t="s">
        <v>557</v>
      </c>
      <c r="H64" s="131" t="s">
        <v>632</v>
      </c>
      <c r="I64" s="86" t="s">
        <v>626</v>
      </c>
      <c r="J64" s="23" t="s">
        <v>633</v>
      </c>
      <c r="K64" s="23"/>
      <c r="L64" s="91" t="s">
        <v>634</v>
      </c>
      <c r="M64" s="128"/>
      <c r="N64" s="128"/>
      <c r="O64" s="128"/>
      <c r="P64" s="23"/>
      <c r="Q64" s="129">
        <v>1600336</v>
      </c>
      <c r="R64" s="130">
        <v>1434000</v>
      </c>
      <c r="S64" s="130">
        <v>166336</v>
      </c>
    </row>
    <row r="65" spans="1:19" ht="110.25" x14ac:dyDescent="0.25">
      <c r="A65" s="86">
        <v>61</v>
      </c>
      <c r="B65" s="111" t="s">
        <v>408</v>
      </c>
      <c r="C65" s="124" t="s">
        <v>635</v>
      </c>
      <c r="D65" s="125">
        <v>1488744</v>
      </c>
      <c r="E65" s="86" t="s">
        <v>631</v>
      </c>
      <c r="F65" s="86" t="s">
        <v>133</v>
      </c>
      <c r="G65" s="86" t="s">
        <v>557</v>
      </c>
      <c r="H65" s="131" t="s">
        <v>636</v>
      </c>
      <c r="I65" s="86" t="s">
        <v>626</v>
      </c>
      <c r="J65" s="23" t="s">
        <v>637</v>
      </c>
      <c r="K65" s="23"/>
      <c r="L65" s="91" t="s">
        <v>638</v>
      </c>
      <c r="M65" s="128"/>
      <c r="N65" s="128"/>
      <c r="O65" s="128"/>
      <c r="P65" s="23"/>
      <c r="Q65" s="129">
        <v>1245751</v>
      </c>
      <c r="R65" s="130">
        <v>509940</v>
      </c>
      <c r="S65" s="130">
        <v>735811</v>
      </c>
    </row>
    <row r="66" spans="1:19" ht="29.25" customHeight="1" x14ac:dyDescent="0.25">
      <c r="B66" s="23"/>
      <c r="C66" s="82" t="s">
        <v>639</v>
      </c>
      <c r="D66" s="132">
        <f>SUM(D5:D65)</f>
        <v>9789355</v>
      </c>
      <c r="E66" s="23"/>
      <c r="F66" s="23"/>
      <c r="G66" s="23"/>
      <c r="H66" s="23"/>
      <c r="I66" s="23"/>
      <c r="J66" s="23"/>
      <c r="K66" s="23"/>
      <c r="L66" s="91"/>
      <c r="M66" s="133">
        <f>SUM(M5:M65)</f>
        <v>4891798.4400000013</v>
      </c>
      <c r="N66" s="133">
        <f t="shared" ref="N66:O66" si="9">SUM(N5:N65)</f>
        <v>978359.68799999997</v>
      </c>
      <c r="O66" s="133">
        <f t="shared" si="9"/>
        <v>5870158.1280000014</v>
      </c>
      <c r="P66" s="23"/>
      <c r="Q66" s="132">
        <f>SUM(Q63:Q65)</f>
        <v>3971912</v>
      </c>
      <c r="R66" s="132">
        <f t="shared" ref="R66:S66" si="10">SUM(R63:R65)</f>
        <v>2873940</v>
      </c>
      <c r="S66" s="132">
        <f t="shared" si="10"/>
        <v>1097972</v>
      </c>
    </row>
    <row r="67" spans="1:19" x14ac:dyDescent="0.25">
      <c r="A67" s="71"/>
      <c r="B67" s="71"/>
      <c r="C67" s="71"/>
      <c r="D67" s="71"/>
      <c r="E67" s="71"/>
      <c r="F67" s="71"/>
      <c r="G67" s="71"/>
      <c r="H67" s="71"/>
      <c r="I67" s="71"/>
      <c r="J67" s="71"/>
      <c r="Q67" s="134"/>
      <c r="R67" s="134"/>
      <c r="S67" s="134"/>
    </row>
    <row r="68" spans="1:19" s="71" customFormat="1" x14ac:dyDescent="0.25">
      <c r="Q68" s="276"/>
      <c r="R68" s="134"/>
      <c r="S68" s="134"/>
    </row>
    <row r="69" spans="1:19" s="71" customFormat="1" x14ac:dyDescent="0.25">
      <c r="C69" s="23"/>
      <c r="D69" s="23"/>
      <c r="E69" s="135" t="s">
        <v>640</v>
      </c>
      <c r="G69" s="23"/>
      <c r="H69" s="23"/>
      <c r="M69" s="134"/>
      <c r="Q69" s="276"/>
      <c r="R69" s="134"/>
      <c r="S69" s="134"/>
    </row>
    <row r="70" spans="1:19" s="71" customFormat="1" ht="31.5" x14ac:dyDescent="0.25">
      <c r="C70" s="23" t="s">
        <v>641</v>
      </c>
      <c r="D70" s="136">
        <v>4744510</v>
      </c>
      <c r="E70" s="137">
        <f>D70+D75</f>
        <v>5032460</v>
      </c>
      <c r="G70" s="23" t="s">
        <v>642</v>
      </c>
      <c r="H70" s="137">
        <f>E70-M66</f>
        <v>140661.55999999866</v>
      </c>
      <c r="J70" s="134"/>
      <c r="K70" s="72"/>
      <c r="M70" s="138"/>
      <c r="Q70" s="139"/>
      <c r="R70" s="134"/>
      <c r="S70" s="134"/>
    </row>
    <row r="71" spans="1:19" s="71" customFormat="1" x14ac:dyDescent="0.25">
      <c r="C71" s="23"/>
      <c r="D71" s="136"/>
      <c r="E71" s="23"/>
      <c r="G71" s="23"/>
      <c r="H71" s="23"/>
    </row>
    <row r="72" spans="1:19" s="71" customFormat="1" ht="31.5" x14ac:dyDescent="0.25">
      <c r="C72" s="23" t="s">
        <v>643</v>
      </c>
      <c r="D72" s="136">
        <v>2267310</v>
      </c>
      <c r="E72" s="140" t="s">
        <v>644</v>
      </c>
      <c r="G72" s="23" t="s">
        <v>645</v>
      </c>
      <c r="H72" s="136">
        <f>E73-Q66</f>
        <v>559598</v>
      </c>
      <c r="M72" s="138"/>
    </row>
    <row r="73" spans="1:19" s="71" customFormat="1" x14ac:dyDescent="0.25">
      <c r="C73" s="23" t="s">
        <v>646</v>
      </c>
      <c r="D73" s="136">
        <v>2264200</v>
      </c>
      <c r="E73" s="141">
        <f>D73+D72</f>
        <v>4531510</v>
      </c>
      <c r="G73" s="23"/>
      <c r="H73" s="23"/>
    </row>
    <row r="74" spans="1:19" s="71" customFormat="1" ht="46.5" customHeight="1" x14ac:dyDescent="0.25">
      <c r="C74" s="23"/>
      <c r="D74" s="136"/>
      <c r="E74" s="23"/>
      <c r="G74" s="23"/>
      <c r="H74" s="136"/>
      <c r="M74" s="72"/>
    </row>
    <row r="75" spans="1:19" s="71" customFormat="1" x14ac:dyDescent="0.25">
      <c r="C75" s="23" t="s">
        <v>647</v>
      </c>
      <c r="D75" s="136">
        <v>287950</v>
      </c>
      <c r="E75" s="23"/>
      <c r="G75" s="23"/>
      <c r="H75" s="23"/>
      <c r="M75" s="72"/>
    </row>
    <row r="76" spans="1:19" s="71" customFormat="1" x14ac:dyDescent="0.25">
      <c r="C76" s="23"/>
      <c r="D76" s="23"/>
      <c r="E76" s="23"/>
      <c r="G76" s="23"/>
      <c r="H76" s="23"/>
    </row>
    <row r="77" spans="1:19" s="71" customFormat="1" x14ac:dyDescent="0.25">
      <c r="C77" s="142" t="s">
        <v>648</v>
      </c>
      <c r="D77" s="132">
        <f>SUM(D70:D76)</f>
        <v>9563970</v>
      </c>
      <c r="E77" s="23"/>
      <c r="G77" s="23"/>
      <c r="H77" s="23"/>
    </row>
    <row r="78" spans="1:19" s="71" customFormat="1" x14ac:dyDescent="0.25">
      <c r="C78" s="23"/>
      <c r="D78" s="23"/>
      <c r="E78" s="23"/>
      <c r="G78" s="23"/>
      <c r="H78" s="23"/>
      <c r="M78" s="72"/>
    </row>
    <row r="79" spans="1:19" s="71" customFormat="1" ht="31.5" x14ac:dyDescent="0.25">
      <c r="C79" s="143" t="s">
        <v>649</v>
      </c>
      <c r="D79" s="144">
        <f>D66-D77</f>
        <v>225385</v>
      </c>
      <c r="E79" s="23"/>
      <c r="G79" s="23"/>
      <c r="H79" s="23"/>
    </row>
    <row r="80" spans="1:19" s="71" customFormat="1" x14ac:dyDescent="0.25"/>
    <row r="81" spans="1:5" s="71" customFormat="1" x14ac:dyDescent="0.25"/>
    <row r="82" spans="1:5" s="71" customFormat="1" x14ac:dyDescent="0.25"/>
    <row r="83" spans="1:5" s="71" customFormat="1" x14ac:dyDescent="0.25">
      <c r="A83" s="23"/>
      <c r="B83" s="23"/>
      <c r="C83" s="23" t="s">
        <v>650</v>
      </c>
      <c r="D83" s="23" t="s">
        <v>651</v>
      </c>
      <c r="E83" s="23"/>
    </row>
    <row r="84" spans="1:5" s="71" customFormat="1" x14ac:dyDescent="0.25">
      <c r="A84" s="23"/>
      <c r="B84" s="23"/>
      <c r="C84" s="23"/>
      <c r="D84" s="23"/>
      <c r="E84" s="23"/>
    </row>
    <row r="85" spans="1:5" s="71" customFormat="1" x14ac:dyDescent="0.25">
      <c r="A85" s="23" t="s">
        <v>652</v>
      </c>
      <c r="B85" s="23" t="s">
        <v>653</v>
      </c>
      <c r="C85" s="136">
        <v>52530</v>
      </c>
      <c r="D85" s="136">
        <v>23324</v>
      </c>
      <c r="E85" s="136">
        <f>C85+D85</f>
        <v>75854</v>
      </c>
    </row>
    <row r="86" spans="1:5" s="71" customFormat="1" x14ac:dyDescent="0.25">
      <c r="A86" s="23" t="s">
        <v>654</v>
      </c>
      <c r="B86" s="23" t="s">
        <v>653</v>
      </c>
      <c r="C86" s="136">
        <v>52530</v>
      </c>
      <c r="D86" s="136">
        <v>23324</v>
      </c>
      <c r="E86" s="136">
        <f t="shared" ref="E86:E89" si="11">C86+D86</f>
        <v>75854</v>
      </c>
    </row>
    <row r="87" spans="1:5" s="71" customFormat="1" x14ac:dyDescent="0.25">
      <c r="A87" s="23" t="s">
        <v>655</v>
      </c>
      <c r="B87" s="23" t="s">
        <v>653</v>
      </c>
      <c r="C87" s="136">
        <v>52530</v>
      </c>
      <c r="D87" s="136">
        <v>23324</v>
      </c>
      <c r="E87" s="136">
        <f t="shared" si="11"/>
        <v>75854</v>
      </c>
    </row>
    <row r="88" spans="1:5" s="71" customFormat="1" x14ac:dyDescent="0.25">
      <c r="A88" s="23"/>
      <c r="B88" s="23"/>
      <c r="C88" s="136"/>
      <c r="D88" s="136"/>
      <c r="E88" s="136">
        <f t="shared" si="11"/>
        <v>0</v>
      </c>
    </row>
    <row r="89" spans="1:5" s="71" customFormat="1" x14ac:dyDescent="0.25">
      <c r="A89" s="23" t="s">
        <v>654</v>
      </c>
      <c r="B89" s="23" t="s">
        <v>563</v>
      </c>
      <c r="C89" s="136">
        <v>59327</v>
      </c>
      <c r="D89" s="136">
        <v>23324</v>
      </c>
      <c r="E89" s="136">
        <f t="shared" si="11"/>
        <v>82651</v>
      </c>
    </row>
    <row r="90" spans="1:5" s="71" customFormat="1" x14ac:dyDescent="0.25">
      <c r="A90" s="23"/>
      <c r="B90" s="23"/>
      <c r="C90" s="136"/>
      <c r="D90" s="136"/>
      <c r="E90" s="136"/>
    </row>
    <row r="91" spans="1:5" s="71" customFormat="1" x14ac:dyDescent="0.25">
      <c r="A91" s="23"/>
      <c r="B91" s="23"/>
      <c r="C91" s="136"/>
      <c r="D91" s="136"/>
      <c r="E91" s="136">
        <f>SUM(E85:E90)</f>
        <v>310213</v>
      </c>
    </row>
    <row r="92" spans="1:5" s="71" customFormat="1" x14ac:dyDescent="0.25"/>
    <row r="93" spans="1:5" s="71" customFormat="1" x14ac:dyDescent="0.25"/>
    <row r="94" spans="1:5" s="71" customFormat="1" x14ac:dyDescent="0.25"/>
    <row r="95" spans="1:5" s="71" customFormat="1" x14ac:dyDescent="0.25"/>
    <row r="96" spans="1:5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</sheetData>
  <mergeCells count="2">
    <mergeCell ref="A2:I2"/>
    <mergeCell ref="Q68:Q6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1" sqref="A1:E11"/>
    </sheetView>
  </sheetViews>
  <sheetFormatPr defaultColWidth="48.42578125" defaultRowHeight="15" x14ac:dyDescent="0.25"/>
  <cols>
    <col min="1" max="1" width="19.5703125" customWidth="1"/>
    <col min="2" max="2" width="9.42578125" customWidth="1"/>
    <col min="3" max="3" width="8.7109375" customWidth="1"/>
    <col min="4" max="4" width="20.7109375" customWidth="1"/>
  </cols>
  <sheetData>
    <row r="1" spans="1:5" x14ac:dyDescent="0.25">
      <c r="A1" s="277" t="s">
        <v>210</v>
      </c>
      <c r="B1" s="277"/>
      <c r="C1" s="277"/>
      <c r="D1" s="277"/>
      <c r="E1" s="158"/>
    </row>
    <row r="2" spans="1:5" x14ac:dyDescent="0.25">
      <c r="A2" s="277" t="s">
        <v>213</v>
      </c>
      <c r="B2" s="277"/>
      <c r="C2" s="277"/>
      <c r="D2" s="277"/>
      <c r="E2" s="158"/>
    </row>
    <row r="3" spans="1:5" x14ac:dyDescent="0.25">
      <c r="A3" s="277" t="s">
        <v>215</v>
      </c>
      <c r="B3" s="277"/>
      <c r="C3" s="277"/>
      <c r="D3" s="277"/>
      <c r="E3" s="158"/>
    </row>
    <row r="4" spans="1:5" x14ac:dyDescent="0.25">
      <c r="A4" s="277" t="s">
        <v>218</v>
      </c>
      <c r="B4" s="277"/>
      <c r="C4" s="277"/>
      <c r="D4" s="277"/>
      <c r="E4" s="158"/>
    </row>
    <row r="5" spans="1:5" x14ac:dyDescent="0.25">
      <c r="A5" s="277" t="s">
        <v>224</v>
      </c>
      <c r="B5" s="277"/>
      <c r="C5" s="277"/>
      <c r="D5" s="277"/>
      <c r="E5" s="158"/>
    </row>
    <row r="6" spans="1:5" x14ac:dyDescent="0.25">
      <c r="A6" s="277" t="s">
        <v>225</v>
      </c>
      <c r="B6" s="277"/>
      <c r="C6" s="277"/>
      <c r="D6" s="277"/>
      <c r="E6" s="158"/>
    </row>
    <row r="7" spans="1:5" x14ac:dyDescent="0.25">
      <c r="A7" s="277" t="s">
        <v>230</v>
      </c>
      <c r="B7" s="277"/>
      <c r="C7" s="277"/>
      <c r="D7" s="277"/>
      <c r="E7" s="158"/>
    </row>
    <row r="8" spans="1:5" x14ac:dyDescent="0.25">
      <c r="A8" s="277" t="s">
        <v>231</v>
      </c>
      <c r="B8" s="277"/>
      <c r="C8" s="277"/>
      <c r="D8" s="277"/>
      <c r="E8" s="158"/>
    </row>
    <row r="9" spans="1:5" x14ac:dyDescent="0.25">
      <c r="A9" s="277" t="s">
        <v>233</v>
      </c>
      <c r="B9" s="277"/>
      <c r="C9" s="277"/>
      <c r="D9" s="277"/>
      <c r="E9" s="158"/>
    </row>
    <row r="10" spans="1:5" x14ac:dyDescent="0.25">
      <c r="A10" s="277" t="s">
        <v>239</v>
      </c>
      <c r="B10" s="277"/>
      <c r="C10" s="277"/>
      <c r="D10" s="277"/>
      <c r="E10" s="158"/>
    </row>
    <row r="11" spans="1:5" x14ac:dyDescent="0.25">
      <c r="A11" s="277" t="s">
        <v>241</v>
      </c>
      <c r="B11" s="277"/>
      <c r="C11" s="277"/>
      <c r="D11" s="277"/>
      <c r="E11" s="158"/>
    </row>
  </sheetData>
  <mergeCells count="11">
    <mergeCell ref="A6:D6"/>
    <mergeCell ref="A1:D1"/>
    <mergeCell ref="A2:D2"/>
    <mergeCell ref="A3:D3"/>
    <mergeCell ref="A4:D4"/>
    <mergeCell ref="A5:D5"/>
    <mergeCell ref="A7:D7"/>
    <mergeCell ref="A8:D8"/>
    <mergeCell ref="A9:D9"/>
    <mergeCell ref="A10:D10"/>
    <mergeCell ref="A11:D1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6"/>
  <sheetViews>
    <sheetView workbookViewId="0">
      <selection activeCell="T30" sqref="T30"/>
    </sheetView>
  </sheetViews>
  <sheetFormatPr defaultRowHeight="15" x14ac:dyDescent="0.25"/>
  <sheetData>
    <row r="1" spans="2:9" x14ac:dyDescent="0.25">
      <c r="C1" t="s">
        <v>669</v>
      </c>
      <c r="D1" t="s">
        <v>671</v>
      </c>
      <c r="E1" t="s">
        <v>670</v>
      </c>
      <c r="F1" t="s">
        <v>670</v>
      </c>
      <c r="G1" t="s">
        <v>671</v>
      </c>
      <c r="H1" t="s">
        <v>672</v>
      </c>
    </row>
    <row r="2" spans="2:9" x14ac:dyDescent="0.25">
      <c r="B2">
        <v>10</v>
      </c>
      <c r="C2">
        <v>70</v>
      </c>
      <c r="D2">
        <v>78</v>
      </c>
      <c r="E2">
        <v>26</v>
      </c>
      <c r="F2">
        <v>26</v>
      </c>
      <c r="G2">
        <v>78</v>
      </c>
      <c r="H2">
        <v>55</v>
      </c>
      <c r="I2">
        <f>SUM(C2:H2)</f>
        <v>333</v>
      </c>
    </row>
    <row r="3" spans="2:9" x14ac:dyDescent="0.25">
      <c r="B3">
        <v>11</v>
      </c>
      <c r="C3">
        <f>C2</f>
        <v>70</v>
      </c>
      <c r="D3">
        <f t="shared" ref="D3:H3" si="0">D2</f>
        <v>78</v>
      </c>
      <c r="E3">
        <f t="shared" si="0"/>
        <v>26</v>
      </c>
      <c r="F3">
        <f t="shared" si="0"/>
        <v>26</v>
      </c>
      <c r="G3">
        <f t="shared" si="0"/>
        <v>78</v>
      </c>
      <c r="H3">
        <f t="shared" si="0"/>
        <v>55</v>
      </c>
      <c r="I3">
        <f t="shared" ref="I3:I25" si="1">SUM(C3:H3)</f>
        <v>333</v>
      </c>
    </row>
    <row r="4" spans="2:9" x14ac:dyDescent="0.25">
      <c r="B4" s="73">
        <v>12</v>
      </c>
    </row>
    <row r="5" spans="2:9" x14ac:dyDescent="0.25">
      <c r="B5" s="73">
        <v>13</v>
      </c>
    </row>
    <row r="6" spans="2:9" x14ac:dyDescent="0.25">
      <c r="B6">
        <v>14</v>
      </c>
      <c r="C6">
        <f>C3</f>
        <v>70</v>
      </c>
      <c r="D6">
        <f t="shared" ref="D6:H6" si="2">D3</f>
        <v>78</v>
      </c>
      <c r="E6">
        <f t="shared" si="2"/>
        <v>26</v>
      </c>
      <c r="F6">
        <f t="shared" si="2"/>
        <v>26</v>
      </c>
      <c r="G6">
        <f t="shared" si="2"/>
        <v>78</v>
      </c>
      <c r="H6">
        <f t="shared" si="2"/>
        <v>55</v>
      </c>
      <c r="I6">
        <f t="shared" si="1"/>
        <v>333</v>
      </c>
    </row>
    <row r="7" spans="2:9" x14ac:dyDescent="0.25">
      <c r="B7">
        <v>15</v>
      </c>
      <c r="C7">
        <f>C6</f>
        <v>70</v>
      </c>
      <c r="D7">
        <f t="shared" ref="D7:H10" si="3">D6</f>
        <v>78</v>
      </c>
      <c r="E7">
        <f t="shared" si="3"/>
        <v>26</v>
      </c>
      <c r="F7">
        <f t="shared" si="3"/>
        <v>26</v>
      </c>
      <c r="G7">
        <f t="shared" si="3"/>
        <v>78</v>
      </c>
      <c r="H7">
        <f t="shared" si="3"/>
        <v>55</v>
      </c>
      <c r="I7">
        <f t="shared" si="1"/>
        <v>333</v>
      </c>
    </row>
    <row r="8" spans="2:9" x14ac:dyDescent="0.25">
      <c r="B8">
        <v>16</v>
      </c>
      <c r="C8">
        <f t="shared" ref="C8:C10" si="4">C7</f>
        <v>70</v>
      </c>
      <c r="D8">
        <f t="shared" si="3"/>
        <v>78</v>
      </c>
      <c r="E8">
        <f t="shared" si="3"/>
        <v>26</v>
      </c>
      <c r="F8">
        <f t="shared" si="3"/>
        <v>26</v>
      </c>
      <c r="G8">
        <f t="shared" si="3"/>
        <v>78</v>
      </c>
      <c r="H8">
        <f t="shared" si="3"/>
        <v>55</v>
      </c>
      <c r="I8">
        <f t="shared" si="1"/>
        <v>333</v>
      </c>
    </row>
    <row r="9" spans="2:9" x14ac:dyDescent="0.25">
      <c r="B9">
        <v>17</v>
      </c>
      <c r="C9">
        <f t="shared" si="4"/>
        <v>70</v>
      </c>
      <c r="D9">
        <f t="shared" si="3"/>
        <v>78</v>
      </c>
      <c r="E9">
        <f t="shared" si="3"/>
        <v>26</v>
      </c>
      <c r="F9">
        <f t="shared" si="3"/>
        <v>26</v>
      </c>
      <c r="G9">
        <f t="shared" si="3"/>
        <v>78</v>
      </c>
      <c r="H9">
        <f t="shared" si="3"/>
        <v>55</v>
      </c>
      <c r="I9">
        <f t="shared" si="1"/>
        <v>333</v>
      </c>
    </row>
    <row r="10" spans="2:9" x14ac:dyDescent="0.25">
      <c r="B10">
        <v>18</v>
      </c>
      <c r="C10">
        <f t="shared" si="4"/>
        <v>70</v>
      </c>
      <c r="D10">
        <f t="shared" si="3"/>
        <v>78</v>
      </c>
      <c r="E10">
        <f t="shared" si="3"/>
        <v>26</v>
      </c>
      <c r="F10">
        <f t="shared" si="3"/>
        <v>26</v>
      </c>
      <c r="G10">
        <f t="shared" si="3"/>
        <v>78</v>
      </c>
      <c r="H10">
        <f t="shared" si="3"/>
        <v>55</v>
      </c>
      <c r="I10">
        <f t="shared" si="1"/>
        <v>333</v>
      </c>
    </row>
    <row r="11" spans="2:9" x14ac:dyDescent="0.25">
      <c r="B11" s="73">
        <v>19</v>
      </c>
    </row>
    <row r="12" spans="2:9" x14ac:dyDescent="0.25">
      <c r="B12" s="73">
        <v>20</v>
      </c>
    </row>
    <row r="13" spans="2:9" x14ac:dyDescent="0.25">
      <c r="B13">
        <v>21</v>
      </c>
      <c r="C13">
        <f>C10</f>
        <v>70</v>
      </c>
      <c r="D13">
        <f t="shared" ref="D13:H13" si="5">D10</f>
        <v>78</v>
      </c>
      <c r="E13">
        <f t="shared" si="5"/>
        <v>26</v>
      </c>
      <c r="F13">
        <f t="shared" si="5"/>
        <v>26</v>
      </c>
      <c r="G13">
        <f t="shared" si="5"/>
        <v>78</v>
      </c>
      <c r="H13">
        <f t="shared" si="5"/>
        <v>55</v>
      </c>
      <c r="I13">
        <f t="shared" si="1"/>
        <v>333</v>
      </c>
    </row>
    <row r="14" spans="2:9" x14ac:dyDescent="0.25">
      <c r="B14">
        <v>22</v>
      </c>
      <c r="C14">
        <f>C13</f>
        <v>70</v>
      </c>
      <c r="D14">
        <f t="shared" ref="D14:H16" si="6">D13</f>
        <v>78</v>
      </c>
      <c r="E14">
        <f t="shared" si="6"/>
        <v>26</v>
      </c>
      <c r="F14">
        <f t="shared" si="6"/>
        <v>26</v>
      </c>
      <c r="G14">
        <f t="shared" si="6"/>
        <v>78</v>
      </c>
      <c r="H14">
        <f t="shared" si="6"/>
        <v>55</v>
      </c>
      <c r="I14">
        <f t="shared" si="1"/>
        <v>333</v>
      </c>
    </row>
    <row r="15" spans="2:9" x14ac:dyDescent="0.25">
      <c r="B15">
        <v>23</v>
      </c>
      <c r="C15">
        <f t="shared" ref="C15:C16" si="7">C14</f>
        <v>70</v>
      </c>
      <c r="D15">
        <f t="shared" si="6"/>
        <v>78</v>
      </c>
      <c r="E15">
        <f t="shared" si="6"/>
        <v>26</v>
      </c>
      <c r="F15">
        <f t="shared" si="6"/>
        <v>26</v>
      </c>
      <c r="G15">
        <f t="shared" si="6"/>
        <v>78</v>
      </c>
      <c r="H15">
        <f t="shared" si="6"/>
        <v>55</v>
      </c>
      <c r="I15">
        <f t="shared" si="1"/>
        <v>333</v>
      </c>
    </row>
    <row r="16" spans="2:9" x14ac:dyDescent="0.25">
      <c r="B16">
        <v>24</v>
      </c>
      <c r="C16">
        <f t="shared" si="7"/>
        <v>70</v>
      </c>
      <c r="D16">
        <f t="shared" si="6"/>
        <v>78</v>
      </c>
      <c r="E16">
        <f t="shared" si="6"/>
        <v>26</v>
      </c>
      <c r="F16">
        <f t="shared" si="6"/>
        <v>26</v>
      </c>
      <c r="G16">
        <f t="shared" si="6"/>
        <v>78</v>
      </c>
      <c r="H16">
        <f t="shared" si="6"/>
        <v>55</v>
      </c>
      <c r="I16">
        <f t="shared" si="1"/>
        <v>333</v>
      </c>
    </row>
    <row r="17" spans="2:23" x14ac:dyDescent="0.25">
      <c r="B17">
        <v>25</v>
      </c>
      <c r="C17">
        <f t="shared" ref="C17:H17" si="8">C16</f>
        <v>70</v>
      </c>
      <c r="D17">
        <f t="shared" si="8"/>
        <v>78</v>
      </c>
      <c r="E17">
        <f t="shared" si="8"/>
        <v>26</v>
      </c>
      <c r="F17">
        <f t="shared" si="8"/>
        <v>26</v>
      </c>
      <c r="G17">
        <f t="shared" si="8"/>
        <v>78</v>
      </c>
      <c r="H17">
        <f t="shared" si="8"/>
        <v>55</v>
      </c>
      <c r="I17">
        <f>SUM(C17:H17)</f>
        <v>333</v>
      </c>
    </row>
    <row r="19" spans="2:23" x14ac:dyDescent="0.25">
      <c r="I19">
        <f>SUM(I2:I17)</f>
        <v>3996</v>
      </c>
    </row>
    <row r="20" spans="2:23" x14ac:dyDescent="0.25">
      <c r="B20" s="73">
        <v>26</v>
      </c>
    </row>
    <row r="21" spans="2:23" x14ac:dyDescent="0.25">
      <c r="B21" s="73">
        <v>27</v>
      </c>
    </row>
    <row r="22" spans="2:23" x14ac:dyDescent="0.25">
      <c r="B22">
        <v>28</v>
      </c>
      <c r="C22">
        <f t="shared" ref="C22:H22" si="9">C17</f>
        <v>70</v>
      </c>
      <c r="D22">
        <f t="shared" si="9"/>
        <v>78</v>
      </c>
      <c r="E22">
        <f t="shared" si="9"/>
        <v>26</v>
      </c>
      <c r="F22">
        <f t="shared" si="9"/>
        <v>26</v>
      </c>
      <c r="G22">
        <f t="shared" si="9"/>
        <v>78</v>
      </c>
      <c r="H22">
        <f t="shared" si="9"/>
        <v>55</v>
      </c>
      <c r="I22">
        <f t="shared" si="1"/>
        <v>333</v>
      </c>
    </row>
    <row r="23" spans="2:23" x14ac:dyDescent="0.25">
      <c r="B23">
        <v>29</v>
      </c>
      <c r="C23">
        <f>C22</f>
        <v>70</v>
      </c>
      <c r="D23">
        <f t="shared" ref="D23:H25" si="10">D22</f>
        <v>78</v>
      </c>
      <c r="E23">
        <f t="shared" si="10"/>
        <v>26</v>
      </c>
      <c r="F23">
        <f t="shared" si="10"/>
        <v>26</v>
      </c>
      <c r="G23">
        <f t="shared" si="10"/>
        <v>78</v>
      </c>
      <c r="H23">
        <f t="shared" si="10"/>
        <v>55</v>
      </c>
      <c r="I23">
        <f t="shared" si="1"/>
        <v>333</v>
      </c>
    </row>
    <row r="24" spans="2:23" x14ac:dyDescent="0.25">
      <c r="B24">
        <v>30</v>
      </c>
      <c r="C24">
        <f t="shared" ref="C24:C25" si="11">C23</f>
        <v>70</v>
      </c>
      <c r="D24">
        <f t="shared" si="10"/>
        <v>78</v>
      </c>
      <c r="E24">
        <f t="shared" si="10"/>
        <v>26</v>
      </c>
      <c r="F24">
        <f t="shared" si="10"/>
        <v>26</v>
      </c>
      <c r="G24">
        <f t="shared" si="10"/>
        <v>78</v>
      </c>
      <c r="H24">
        <f t="shared" si="10"/>
        <v>55</v>
      </c>
      <c r="I24">
        <f t="shared" si="1"/>
        <v>333</v>
      </c>
    </row>
    <row r="25" spans="2:23" x14ac:dyDescent="0.25">
      <c r="B25">
        <v>31</v>
      </c>
      <c r="C25">
        <f t="shared" si="11"/>
        <v>70</v>
      </c>
      <c r="D25">
        <f t="shared" si="10"/>
        <v>78</v>
      </c>
      <c r="E25">
        <f t="shared" si="10"/>
        <v>26</v>
      </c>
      <c r="F25">
        <f t="shared" si="10"/>
        <v>26</v>
      </c>
      <c r="G25">
        <f t="shared" si="10"/>
        <v>78</v>
      </c>
      <c r="H25">
        <f t="shared" si="10"/>
        <v>55</v>
      </c>
      <c r="I25">
        <f t="shared" si="1"/>
        <v>333</v>
      </c>
    </row>
    <row r="26" spans="2:23" x14ac:dyDescent="0.25">
      <c r="W26" t="s">
        <v>711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0"/>
  <sheetViews>
    <sheetView zoomScale="130" zoomScaleNormal="130"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P3" sqref="P3"/>
    </sheetView>
  </sheetViews>
  <sheetFormatPr defaultRowHeight="12.75" x14ac:dyDescent="0.25"/>
  <cols>
    <col min="1" max="1" width="9.140625" style="278"/>
    <col min="2" max="2" width="18.5703125" style="278" customWidth="1"/>
    <col min="3" max="3" width="42.7109375" style="278" customWidth="1"/>
    <col min="4" max="15" width="15.28515625" style="278" customWidth="1"/>
    <col min="16" max="16" width="15.140625" style="278" customWidth="1"/>
    <col min="17" max="17" width="11.42578125" style="278" customWidth="1"/>
    <col min="18" max="18" width="14.5703125" style="278" hidden="1" customWidth="1"/>
    <col min="19" max="19" width="11.28515625" style="278" bestFit="1" customWidth="1"/>
    <col min="20" max="16384" width="9.140625" style="278"/>
  </cols>
  <sheetData>
    <row r="1" spans="1:19" x14ac:dyDescent="0.25">
      <c r="B1" s="279"/>
      <c r="C1" s="280" t="s">
        <v>673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9" ht="15" x14ac:dyDescent="0.25">
      <c r="B2" s="281" t="s">
        <v>674</v>
      </c>
      <c r="C2" s="279"/>
      <c r="D2" s="282" t="s">
        <v>131</v>
      </c>
      <c r="E2" s="282" t="s">
        <v>132</v>
      </c>
      <c r="F2" s="282" t="s">
        <v>133</v>
      </c>
      <c r="G2" s="282" t="s">
        <v>134</v>
      </c>
      <c r="H2" s="282" t="s">
        <v>135</v>
      </c>
      <c r="I2" s="282" t="s">
        <v>136</v>
      </c>
      <c r="J2" s="282" t="s">
        <v>0</v>
      </c>
      <c r="K2" s="282" t="s">
        <v>1</v>
      </c>
      <c r="L2" s="282" t="s">
        <v>2</v>
      </c>
      <c r="M2" s="282" t="s">
        <v>137</v>
      </c>
      <c r="N2" s="282" t="s">
        <v>138</v>
      </c>
      <c r="O2" s="282" t="s">
        <v>139</v>
      </c>
      <c r="P2" s="283" t="s">
        <v>675</v>
      </c>
      <c r="Q2" s="283" t="s">
        <v>676</v>
      </c>
      <c r="R2" s="284" t="s">
        <v>677</v>
      </c>
      <c r="S2" s="283" t="s">
        <v>678</v>
      </c>
    </row>
    <row r="3" spans="1:19" x14ac:dyDescent="0.25">
      <c r="B3" s="285" t="s">
        <v>676</v>
      </c>
      <c r="C3" s="286"/>
      <c r="D3" s="287">
        <f>SUM(D4:D23)</f>
        <v>2921039.6399999997</v>
      </c>
      <c r="E3" s="287">
        <f t="shared" ref="E3:N3" si="0">SUM(E4:E23)</f>
        <v>2124858.34</v>
      </c>
      <c r="F3" s="287">
        <f>SUM(F4:F23)</f>
        <v>2382223.83</v>
      </c>
      <c r="G3" s="287">
        <f t="shared" si="0"/>
        <v>1571402.35</v>
      </c>
      <c r="H3" s="287">
        <f t="shared" si="0"/>
        <v>1764600.1</v>
      </c>
      <c r="I3" s="287">
        <f>SUM(I4:I23)</f>
        <v>2117137.92</v>
      </c>
      <c r="J3" s="287">
        <f t="shared" si="0"/>
        <v>2319544.35</v>
      </c>
      <c r="K3" s="287">
        <f t="shared" si="0"/>
        <v>2724878.9099999997</v>
      </c>
      <c r="L3" s="287">
        <f t="shared" si="0"/>
        <v>2922744.88</v>
      </c>
      <c r="M3" s="287">
        <f t="shared" si="0"/>
        <v>1938089.68</v>
      </c>
      <c r="N3" s="287">
        <f t="shared" si="0"/>
        <v>3851284.1500000004</v>
      </c>
      <c r="O3" s="287">
        <f>SUM(O4:O23)-O17</f>
        <v>3577062.0500000007</v>
      </c>
      <c r="P3" s="287">
        <f>SUM(P4:P23)</f>
        <v>30900941.029999997</v>
      </c>
      <c r="Q3" s="287">
        <f>SUM(Q4:Q23)</f>
        <v>30976.17</v>
      </c>
      <c r="R3" s="288">
        <f>Q3-P3/1000</f>
        <v>75.228970000000118</v>
      </c>
      <c r="S3" s="289">
        <f>P3/1000-Q3</f>
        <v>-75.228970000000118</v>
      </c>
    </row>
    <row r="4" spans="1:19" x14ac:dyDescent="0.25">
      <c r="A4" s="278">
        <v>1</v>
      </c>
      <c r="B4" s="279" t="s">
        <v>679</v>
      </c>
      <c r="C4" s="194" t="s">
        <v>167</v>
      </c>
      <c r="D4" s="197">
        <f>621913.72+170783.08</f>
        <v>792696.79999999993</v>
      </c>
      <c r="E4" s="197">
        <f>603827.38+169634.87</f>
        <v>773462.25</v>
      </c>
      <c r="F4" s="197">
        <f>655781.23+166849.77</f>
        <v>822631</v>
      </c>
      <c r="G4" s="197">
        <f>561259.57+167147.26</f>
        <v>728406.83</v>
      </c>
      <c r="H4" s="197">
        <f>158873.82+556816.9</f>
        <v>715690.72</v>
      </c>
      <c r="I4" s="197">
        <f>150023.38+537881.42</f>
        <v>687904.8</v>
      </c>
      <c r="J4" s="197">
        <f>154134.38+479454.45</f>
        <v>633588.83000000007</v>
      </c>
      <c r="K4" s="197">
        <f>171642.52+494868.39</f>
        <v>666510.91</v>
      </c>
      <c r="L4" s="197">
        <f>174655.97+525294.73</f>
        <v>699950.7</v>
      </c>
      <c r="M4" s="197">
        <f>153500.8+559139.43</f>
        <v>712640.23</v>
      </c>
      <c r="N4" s="197">
        <f>584933.47+183105.7</f>
        <v>768039.16999999993</v>
      </c>
      <c r="O4" s="197">
        <f>1609211.83+202284.18</f>
        <v>1811496.01</v>
      </c>
      <c r="P4" s="308">
        <f>SUM(D4:O4)</f>
        <v>9813018.25</v>
      </c>
      <c r="Q4" s="289">
        <f>'[2]Смета расходов Тариф'!D5</f>
        <v>8198.25</v>
      </c>
      <c r="R4" s="278" t="s">
        <v>680</v>
      </c>
      <c r="S4" s="289">
        <f>P4/1000-Q4</f>
        <v>1614.7682499999992</v>
      </c>
    </row>
    <row r="5" spans="1:19" x14ac:dyDescent="0.25">
      <c r="A5" s="278">
        <f>A4+1</f>
        <v>2</v>
      </c>
      <c r="B5" s="279" t="s">
        <v>679</v>
      </c>
      <c r="C5" s="194" t="s">
        <v>168</v>
      </c>
      <c r="D5" s="197">
        <f>122976.66+2487.66+34318.93+683.12</f>
        <v>160466.37</v>
      </c>
      <c r="E5" s="197">
        <f>34333.23+678.55+121580.48+2415.28</f>
        <v>159007.54</v>
      </c>
      <c r="F5" s="197">
        <f>128425.9+2623.13+33986.37+667.39</f>
        <v>165702.79</v>
      </c>
      <c r="G5" s="197">
        <f>34090.54+668.58+113504.91+2245.03</f>
        <v>150509.06</v>
      </c>
      <c r="H5" s="197">
        <f>111797.02+2227.29+32299.19+635.49</f>
        <v>146958.99</v>
      </c>
      <c r="I5" s="197">
        <f>110477.15+2119.87+31260.74+600.11</f>
        <v>144457.86999999997</v>
      </c>
      <c r="J5" s="197">
        <f>95614.55+1917.81+32316.56+616.52</f>
        <v>130465.44</v>
      </c>
      <c r="K5" s="197">
        <f>100254.61+1979.5+35407.41+686.58</f>
        <v>138328.1</v>
      </c>
      <c r="L5" s="197">
        <f>36136.38+698.62+102589.86+2086.36</f>
        <v>141511.21999999997</v>
      </c>
      <c r="M5" s="197">
        <f>112335.98+2223.78+34529.08+597.44</f>
        <v>149686.28</v>
      </c>
      <c r="N5" s="197">
        <f>117135.73+2312.96+37094.88+732.41</f>
        <v>157275.98000000001</v>
      </c>
      <c r="O5" s="197">
        <f>279938.46+6435.27+37961.1+809.14</f>
        <v>325143.97000000003</v>
      </c>
      <c r="P5" s="308">
        <f t="shared" ref="P5:P23" si="1">SUM(D5:O5)</f>
        <v>1969513.61</v>
      </c>
      <c r="Q5" s="289">
        <f>'[2]Смета расходов Тариф'!D12</f>
        <v>2492.27</v>
      </c>
      <c r="R5" s="278" t="s">
        <v>680</v>
      </c>
      <c r="S5" s="289">
        <f>P5/1000-Q5</f>
        <v>-522.75638999999978</v>
      </c>
    </row>
    <row r="6" spans="1:19" x14ac:dyDescent="0.25">
      <c r="A6" s="278">
        <f t="shared" ref="A6:A58" si="2">A5+1</f>
        <v>3</v>
      </c>
      <c r="B6" s="279" t="s">
        <v>679</v>
      </c>
      <c r="C6" s="194" t="s">
        <v>681</v>
      </c>
      <c r="D6" s="197">
        <v>0</v>
      </c>
      <c r="E6" s="197">
        <v>0</v>
      </c>
      <c r="F6" s="197">
        <v>0</v>
      </c>
      <c r="G6" s="197">
        <v>0</v>
      </c>
      <c r="H6" s="197">
        <v>0</v>
      </c>
      <c r="I6" s="197">
        <v>0</v>
      </c>
      <c r="J6" s="197">
        <v>0</v>
      </c>
      <c r="K6" s="197">
        <v>0</v>
      </c>
      <c r="L6" s="197">
        <v>0</v>
      </c>
      <c r="M6" s="197">
        <v>0</v>
      </c>
      <c r="N6" s="197">
        <v>0</v>
      </c>
      <c r="O6" s="197">
        <v>0</v>
      </c>
      <c r="P6" s="289">
        <f t="shared" si="1"/>
        <v>0</v>
      </c>
      <c r="Q6" s="290">
        <f>'[2]Смета расходов Тариф'!D8</f>
        <v>396.89</v>
      </c>
      <c r="R6" s="291" t="s">
        <v>682</v>
      </c>
      <c r="S6" s="292">
        <f>SUM(P6:P13)/1000-Q6</f>
        <v>136.19413000000009</v>
      </c>
    </row>
    <row r="7" spans="1:19" x14ac:dyDescent="0.25">
      <c r="A7" s="278">
        <f t="shared" si="2"/>
        <v>4</v>
      </c>
      <c r="B7" s="279" t="s">
        <v>679</v>
      </c>
      <c r="C7" s="194" t="s">
        <v>683</v>
      </c>
      <c r="D7" s="197">
        <v>0</v>
      </c>
      <c r="E7" s="197">
        <v>0</v>
      </c>
      <c r="F7" s="197">
        <v>0</v>
      </c>
      <c r="G7" s="197">
        <v>0</v>
      </c>
      <c r="H7" s="197">
        <v>0</v>
      </c>
      <c r="I7" s="197">
        <v>0</v>
      </c>
      <c r="J7" s="197">
        <v>0</v>
      </c>
      <c r="K7" s="197">
        <v>0</v>
      </c>
      <c r="L7" s="197">
        <v>0</v>
      </c>
      <c r="M7" s="197">
        <v>0</v>
      </c>
      <c r="N7" s="197">
        <v>0</v>
      </c>
      <c r="O7" s="197">
        <v>0</v>
      </c>
      <c r="P7" s="289">
        <f t="shared" si="1"/>
        <v>0</v>
      </c>
      <c r="Q7" s="293"/>
      <c r="R7" s="278" t="s">
        <v>682</v>
      </c>
      <c r="S7" s="294"/>
    </row>
    <row r="8" spans="1:19" x14ac:dyDescent="0.25">
      <c r="A8" s="278">
        <f t="shared" si="2"/>
        <v>5</v>
      </c>
      <c r="B8" s="279" t="s">
        <v>679</v>
      </c>
      <c r="C8" s="194" t="s">
        <v>684</v>
      </c>
      <c r="D8" s="197">
        <v>8990.08</v>
      </c>
      <c r="E8" s="199">
        <v>8870.6299999999992</v>
      </c>
      <c r="F8" s="197">
        <v>8864.1</v>
      </c>
      <c r="G8" s="199">
        <v>8462.11</v>
      </c>
      <c r="H8" s="197">
        <v>8754.4</v>
      </c>
      <c r="I8" s="197">
        <v>8706.44</v>
      </c>
      <c r="J8" s="197">
        <v>1754.39</v>
      </c>
      <c r="K8" s="197">
        <v>15702.61</v>
      </c>
      <c r="L8" s="197">
        <v>8632.4599999999991</v>
      </c>
      <c r="M8" s="197">
        <v>8677.9500000000007</v>
      </c>
      <c r="N8" s="197">
        <v>10086.02</v>
      </c>
      <c r="O8" s="197">
        <v>8517.02</v>
      </c>
      <c r="P8" s="308">
        <f t="shared" si="1"/>
        <v>106018.21</v>
      </c>
      <c r="Q8" s="293"/>
      <c r="R8" s="278" t="s">
        <v>682</v>
      </c>
      <c r="S8" s="294"/>
    </row>
    <row r="9" spans="1:19" x14ac:dyDescent="0.25">
      <c r="A9" s="278">
        <f t="shared" si="2"/>
        <v>6</v>
      </c>
      <c r="B9" s="279" t="s">
        <v>679</v>
      </c>
      <c r="C9" s="194" t="s">
        <v>685</v>
      </c>
      <c r="D9" s="197">
        <v>0</v>
      </c>
      <c r="E9" s="199">
        <v>7500</v>
      </c>
      <c r="F9" s="197">
        <v>9750</v>
      </c>
      <c r="G9" s="199">
        <v>0</v>
      </c>
      <c r="H9" s="197">
        <v>5200</v>
      </c>
      <c r="I9" s="197">
        <v>0</v>
      </c>
      <c r="J9" s="197">
        <v>1500</v>
      </c>
      <c r="K9" s="197">
        <v>0</v>
      </c>
      <c r="L9" s="197">
        <v>0</v>
      </c>
      <c r="M9" s="197">
        <v>36000</v>
      </c>
      <c r="N9" s="197">
        <v>8600</v>
      </c>
      <c r="O9" s="197">
        <v>10000</v>
      </c>
      <c r="P9" s="308">
        <f t="shared" si="1"/>
        <v>78550</v>
      </c>
      <c r="Q9" s="293"/>
      <c r="R9" s="278" t="s">
        <v>682</v>
      </c>
      <c r="S9" s="294"/>
    </row>
    <row r="10" spans="1:19" x14ac:dyDescent="0.25">
      <c r="A10" s="278">
        <f t="shared" si="2"/>
        <v>7</v>
      </c>
      <c r="B10" s="279" t="s">
        <v>679</v>
      </c>
      <c r="C10" s="194" t="s">
        <v>686</v>
      </c>
      <c r="D10" s="199">
        <v>0</v>
      </c>
      <c r="E10" s="199">
        <v>0</v>
      </c>
      <c r="F10" s="199">
        <v>0</v>
      </c>
      <c r="G10" s="199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289">
        <f t="shared" si="1"/>
        <v>0</v>
      </c>
      <c r="Q10" s="293"/>
      <c r="R10" s="278" t="s">
        <v>682</v>
      </c>
      <c r="S10" s="294"/>
    </row>
    <row r="11" spans="1:19" x14ac:dyDescent="0.25">
      <c r="A11" s="278">
        <f t="shared" si="2"/>
        <v>8</v>
      </c>
      <c r="B11" s="279" t="s">
        <v>679</v>
      </c>
      <c r="C11" s="194" t="s">
        <v>687</v>
      </c>
      <c r="D11" s="199">
        <v>11137.12</v>
      </c>
      <c r="E11" s="199">
        <v>11136.83</v>
      </c>
      <c r="F11" s="199">
        <v>41737.24</v>
      </c>
      <c r="G11" s="199">
        <f>11137.04+6000</f>
        <v>17137.04</v>
      </c>
      <c r="H11" s="197">
        <f>3750+14133.33</f>
        <v>17883.330000000002</v>
      </c>
      <c r="I11" s="197">
        <v>13096.97</v>
      </c>
      <c r="J11" s="197">
        <v>11751.46</v>
      </c>
      <c r="K11" s="197">
        <v>11751.56</v>
      </c>
      <c r="L11" s="197">
        <v>11751.41</v>
      </c>
      <c r="M11" s="197">
        <v>36014.6</v>
      </c>
      <c r="N11" s="197">
        <v>11751.36</v>
      </c>
      <c r="O11" s="197">
        <v>24036.639999999999</v>
      </c>
      <c r="P11" s="308">
        <f t="shared" si="1"/>
        <v>219185.56000000006</v>
      </c>
      <c r="Q11" s="293"/>
      <c r="R11" s="278" t="s">
        <v>682</v>
      </c>
      <c r="S11" s="294"/>
    </row>
    <row r="12" spans="1:19" x14ac:dyDescent="0.25">
      <c r="A12" s="278">
        <f t="shared" si="2"/>
        <v>9</v>
      </c>
      <c r="B12" s="279" t="s">
        <v>679</v>
      </c>
      <c r="C12" s="194" t="s">
        <v>37</v>
      </c>
      <c r="D12" s="197">
        <v>3757.26</v>
      </c>
      <c r="E12" s="199">
        <v>3781.69</v>
      </c>
      <c r="F12" s="197">
        <v>5160.9399999999996</v>
      </c>
      <c r="G12" s="199">
        <v>5216.04</v>
      </c>
      <c r="H12" s="197">
        <v>5488.08</v>
      </c>
      <c r="I12" s="197">
        <v>4880.62</v>
      </c>
      <c r="J12" s="197">
        <v>4937.41</v>
      </c>
      <c r="K12" s="197">
        <v>5471.07</v>
      </c>
      <c r="L12" s="197">
        <v>5044.1400000000003</v>
      </c>
      <c r="M12" s="197">
        <v>5113.21</v>
      </c>
      <c r="N12" s="197">
        <v>4842.17</v>
      </c>
      <c r="O12" s="197">
        <v>4987.33</v>
      </c>
      <c r="P12" s="308">
        <f t="shared" si="1"/>
        <v>58679.96</v>
      </c>
      <c r="Q12" s="293"/>
      <c r="R12" s="278" t="s">
        <v>682</v>
      </c>
      <c r="S12" s="294"/>
    </row>
    <row r="13" spans="1:19" x14ac:dyDescent="0.25">
      <c r="A13" s="278">
        <f t="shared" si="2"/>
        <v>10</v>
      </c>
      <c r="B13" s="279" t="s">
        <v>679</v>
      </c>
      <c r="C13" s="194" t="s">
        <v>183</v>
      </c>
      <c r="D13" s="197">
        <v>4949.2</v>
      </c>
      <c r="E13" s="199">
        <v>4949.2</v>
      </c>
      <c r="F13" s="197">
        <v>5949.2</v>
      </c>
      <c r="G13" s="199">
        <v>4949.2</v>
      </c>
      <c r="H13" s="197">
        <v>5949.2</v>
      </c>
      <c r="I13" s="197">
        <v>5949.2</v>
      </c>
      <c r="J13" s="197">
        <v>5949.2</v>
      </c>
      <c r="K13" s="197">
        <v>5949.2</v>
      </c>
      <c r="L13" s="197">
        <v>5949.2</v>
      </c>
      <c r="M13" s="197">
        <v>5949.2</v>
      </c>
      <c r="N13" s="197">
        <v>5949.2</v>
      </c>
      <c r="O13" s="197">
        <v>8209.2000000000007</v>
      </c>
      <c r="P13" s="308">
        <f t="shared" si="1"/>
        <v>70650.399999999994</v>
      </c>
      <c r="Q13" s="293"/>
      <c r="R13" s="278" t="s">
        <v>680</v>
      </c>
      <c r="S13" s="294"/>
    </row>
    <row r="14" spans="1:19" ht="25.5" x14ac:dyDescent="0.25">
      <c r="A14" s="278">
        <f t="shared" si="2"/>
        <v>11</v>
      </c>
      <c r="B14" s="279" t="s">
        <v>679</v>
      </c>
      <c r="C14" s="194" t="s">
        <v>689</v>
      </c>
      <c r="D14" s="197">
        <f>5777.78</f>
        <v>5777.78</v>
      </c>
      <c r="E14" s="199">
        <v>5777.78</v>
      </c>
      <c r="F14" s="197">
        <v>5777.78</v>
      </c>
      <c r="G14" s="199">
        <v>5777.78</v>
      </c>
      <c r="H14" s="197">
        <v>5777.78</v>
      </c>
      <c r="I14" s="197">
        <v>5777.78</v>
      </c>
      <c r="J14" s="197">
        <v>5777.78</v>
      </c>
      <c r="K14" s="197">
        <v>5777.78</v>
      </c>
      <c r="L14" s="197">
        <v>5777.78</v>
      </c>
      <c r="M14" s="197">
        <v>5777.78</v>
      </c>
      <c r="N14" s="197">
        <v>5777.78</v>
      </c>
      <c r="O14" s="197">
        <v>5777.78</v>
      </c>
      <c r="P14" s="309">
        <f t="shared" si="1"/>
        <v>69333.36</v>
      </c>
      <c r="Q14" s="290">
        <f>'[2]Смета расходов Тариф'!D11</f>
        <v>3146.66</v>
      </c>
      <c r="R14" s="278" t="s">
        <v>680</v>
      </c>
      <c r="S14" s="292">
        <f>SUM(P14:P16)/1000-Q14</f>
        <v>1125.5988399999997</v>
      </c>
    </row>
    <row r="15" spans="1:19" ht="25.5" x14ac:dyDescent="0.25">
      <c r="A15" s="278">
        <f t="shared" si="2"/>
        <v>12</v>
      </c>
      <c r="B15" s="279" t="s">
        <v>679</v>
      </c>
      <c r="C15" s="194" t="s">
        <v>690</v>
      </c>
      <c r="D15" s="197">
        <v>279058.75</v>
      </c>
      <c r="E15" s="197">
        <v>279058.75</v>
      </c>
      <c r="F15" s="197">
        <v>279058.75</v>
      </c>
      <c r="G15" s="197">
        <v>279058.75</v>
      </c>
      <c r="H15" s="197">
        <v>279058.75</v>
      </c>
      <c r="I15" s="197">
        <v>279058.75</v>
      </c>
      <c r="J15" s="197">
        <v>279058.75</v>
      </c>
      <c r="K15" s="197">
        <v>279058.75</v>
      </c>
      <c r="L15" s="197">
        <v>279058.75</v>
      </c>
      <c r="M15" s="197">
        <v>279058.75</v>
      </c>
      <c r="N15" s="197">
        <v>279058.75</v>
      </c>
      <c r="O15" s="197">
        <v>401965.63</v>
      </c>
      <c r="P15" s="309">
        <f t="shared" si="1"/>
        <v>3471611.88</v>
      </c>
      <c r="Q15" s="295"/>
      <c r="R15" s="291"/>
      <c r="S15" s="294"/>
    </row>
    <row r="16" spans="1:19" ht="27" customHeight="1" x14ac:dyDescent="0.25">
      <c r="A16" s="278">
        <f t="shared" si="2"/>
        <v>13</v>
      </c>
      <c r="B16" s="279" t="s">
        <v>679</v>
      </c>
      <c r="C16" s="194" t="s">
        <v>691</v>
      </c>
      <c r="D16" s="197">
        <v>60942.8</v>
      </c>
      <c r="E16" s="197">
        <v>60942.8</v>
      </c>
      <c r="F16" s="197">
        <v>60942.8</v>
      </c>
      <c r="G16" s="197">
        <v>60942.8</v>
      </c>
      <c r="H16" s="197">
        <v>60942.8</v>
      </c>
      <c r="I16" s="197">
        <v>60942.8</v>
      </c>
      <c r="J16" s="197">
        <v>60942.8</v>
      </c>
      <c r="K16" s="197">
        <v>60942.8</v>
      </c>
      <c r="L16" s="197">
        <v>60942.8</v>
      </c>
      <c r="M16" s="197">
        <v>60942.8</v>
      </c>
      <c r="N16" s="197">
        <v>60942.8</v>
      </c>
      <c r="O16" s="197">
        <v>60942.8</v>
      </c>
      <c r="P16" s="309">
        <f t="shared" si="1"/>
        <v>731313.60000000009</v>
      </c>
      <c r="Q16" s="295"/>
      <c r="R16" s="296"/>
      <c r="S16" s="294"/>
    </row>
    <row r="17" spans="1:19" s="297" customFormat="1" ht="25.5" x14ac:dyDescent="0.25">
      <c r="A17" s="297">
        <f t="shared" si="2"/>
        <v>14</v>
      </c>
      <c r="B17" s="298" t="s">
        <v>679</v>
      </c>
      <c r="C17" s="299" t="s">
        <v>692</v>
      </c>
      <c r="D17" s="199">
        <v>0</v>
      </c>
      <c r="E17" s="199">
        <v>0</v>
      </c>
      <c r="F17" s="199">
        <v>0</v>
      </c>
      <c r="G17" s="199">
        <v>272751.03999999998</v>
      </c>
      <c r="H17" s="199">
        <v>0</v>
      </c>
      <c r="I17" s="199"/>
      <c r="J17" s="199">
        <f>209302</f>
        <v>209302</v>
      </c>
      <c r="K17" s="199">
        <v>472492.02</v>
      </c>
      <c r="L17" s="199">
        <v>1496884.38</v>
      </c>
      <c r="M17" s="199"/>
      <c r="N17" s="199">
        <v>1772893.26</v>
      </c>
      <c r="O17" s="199">
        <v>686074.83</v>
      </c>
      <c r="P17" s="307">
        <f t="shared" si="1"/>
        <v>4910397.53</v>
      </c>
      <c r="Q17" s="300">
        <f>'[2]Смета расходов Тариф'!D18</f>
        <v>2068</v>
      </c>
      <c r="R17" s="296"/>
      <c r="S17" s="300">
        <f t="shared" ref="S17:S58" si="3">P17/1000-Q17</f>
        <v>2842.3975300000002</v>
      </c>
    </row>
    <row r="18" spans="1:19" s="297" customFormat="1" ht="25.5" x14ac:dyDescent="0.25">
      <c r="A18" s="297">
        <f t="shared" si="2"/>
        <v>15</v>
      </c>
      <c r="B18" s="298" t="s">
        <v>679</v>
      </c>
      <c r="C18" s="299" t="s">
        <v>178</v>
      </c>
      <c r="D18" s="199">
        <v>1271.19</v>
      </c>
      <c r="E18" s="199">
        <v>1271.18</v>
      </c>
      <c r="F18" s="199">
        <v>1271.19</v>
      </c>
      <c r="G18" s="199">
        <v>1271.18</v>
      </c>
      <c r="H18" s="199">
        <v>1271.19</v>
      </c>
      <c r="I18" s="199">
        <v>1271.18</v>
      </c>
      <c r="J18" s="199">
        <v>1271.19</v>
      </c>
      <c r="K18" s="199">
        <v>1271.18</v>
      </c>
      <c r="L18" s="199">
        <v>1271.19</v>
      </c>
      <c r="M18" s="199">
        <v>1271.18</v>
      </c>
      <c r="N18" s="199">
        <v>1271.19</v>
      </c>
      <c r="O18" s="199">
        <v>1271.18</v>
      </c>
      <c r="P18" s="307">
        <f>SUM(D18:O18)</f>
        <v>15254.220000000003</v>
      </c>
      <c r="Q18" s="301">
        <f>'[2]Смета расходов Тариф'!D7+'[2]Смета расходов Тариф'!D19+'[2]Смета расходов Тариф'!D20+'[2]Смета расходов Тариф'!D21</f>
        <v>5749.19</v>
      </c>
      <c r="R18" s="296"/>
      <c r="S18" s="300">
        <f>P18/1000-Q18</f>
        <v>-5733.9357799999998</v>
      </c>
    </row>
    <row r="19" spans="1:19" x14ac:dyDescent="0.25">
      <c r="A19" s="278">
        <f t="shared" si="2"/>
        <v>16</v>
      </c>
      <c r="B19" s="279" t="s">
        <v>679</v>
      </c>
      <c r="C19" s="194" t="s">
        <v>693</v>
      </c>
      <c r="D19" s="197">
        <v>1591874.95</v>
      </c>
      <c r="E19" s="197">
        <v>808982.35</v>
      </c>
      <c r="F19" s="197">
        <v>762780.7</v>
      </c>
      <c r="G19" s="197">
        <v>0</v>
      </c>
      <c r="H19" s="197">
        <v>500991.53</v>
      </c>
      <c r="I19" s="197">
        <v>624726.66</v>
      </c>
      <c r="J19" s="197">
        <v>880611.92</v>
      </c>
      <c r="K19" s="197">
        <v>1066940.4099999999</v>
      </c>
      <c r="L19" s="197">
        <v>0</v>
      </c>
      <c r="M19" s="197">
        <v>628002.98</v>
      </c>
      <c r="N19" s="197">
        <v>757641.75</v>
      </c>
      <c r="O19" s="197">
        <v>719311.64</v>
      </c>
      <c r="P19" s="289">
        <f t="shared" si="1"/>
        <v>8341864.8899999997</v>
      </c>
      <c r="Q19" s="289">
        <f>'[2]Смета расходов Тариф'!D23</f>
        <v>7832.05</v>
      </c>
      <c r="R19" s="296"/>
      <c r="S19" s="289">
        <f>P19/1000-Q19</f>
        <v>509.81488999999874</v>
      </c>
    </row>
    <row r="20" spans="1:19" x14ac:dyDescent="0.25">
      <c r="A20" s="278">
        <f t="shared" si="2"/>
        <v>17</v>
      </c>
      <c r="B20" s="279" t="s">
        <v>679</v>
      </c>
      <c r="C20" s="194" t="s">
        <v>694</v>
      </c>
      <c r="D20" s="197">
        <v>0</v>
      </c>
      <c r="E20" s="197">
        <v>0</v>
      </c>
      <c r="F20" s="199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/>
      <c r="N20" s="197"/>
      <c r="O20" s="197"/>
      <c r="P20" s="289">
        <f t="shared" si="1"/>
        <v>0</v>
      </c>
      <c r="Q20" s="289">
        <v>0</v>
      </c>
      <c r="R20" s="296"/>
      <c r="S20" s="289">
        <f t="shared" si="3"/>
        <v>0</v>
      </c>
    </row>
    <row r="21" spans="1:19" x14ac:dyDescent="0.25">
      <c r="A21" s="278">
        <f t="shared" si="2"/>
        <v>18</v>
      </c>
      <c r="B21" s="279" t="s">
        <v>679</v>
      </c>
      <c r="C21" s="194" t="s">
        <v>695</v>
      </c>
      <c r="D21" s="199">
        <v>0</v>
      </c>
      <c r="E21" s="197">
        <v>0</v>
      </c>
      <c r="F21" s="199">
        <v>0</v>
      </c>
      <c r="G21" s="197">
        <v>0</v>
      </c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/>
      <c r="N21" s="197"/>
      <c r="O21" s="197"/>
      <c r="P21" s="302">
        <f t="shared" si="1"/>
        <v>0</v>
      </c>
      <c r="Q21" s="302">
        <v>0</v>
      </c>
      <c r="R21" s="303" t="s">
        <v>696</v>
      </c>
      <c r="S21" s="302">
        <f>P21/1000-Q21</f>
        <v>0</v>
      </c>
    </row>
    <row r="22" spans="1:19" x14ac:dyDescent="0.25">
      <c r="A22" s="278">
        <f t="shared" si="2"/>
        <v>19</v>
      </c>
      <c r="B22" s="279" t="s">
        <v>679</v>
      </c>
      <c r="C22" s="194" t="s">
        <v>697</v>
      </c>
      <c r="D22" s="199">
        <v>117.34</v>
      </c>
      <c r="E22" s="197">
        <v>117.34</v>
      </c>
      <c r="F22" s="199">
        <f>3924+117.34</f>
        <v>4041.34</v>
      </c>
      <c r="G22" s="197">
        <f>27758.81+9161.71</f>
        <v>36920.520000000004</v>
      </c>
      <c r="H22" s="197">
        <v>10633.33</v>
      </c>
      <c r="I22" s="197">
        <f>74528+121.85</f>
        <v>74649.850000000006</v>
      </c>
      <c r="J22" s="197">
        <f>92511.33+121.85</f>
        <v>92633.180000000008</v>
      </c>
      <c r="K22" s="197">
        <f>121.85-5439.33</f>
        <v>-5317.48</v>
      </c>
      <c r="L22" s="197">
        <f>121.85+715+2260</f>
        <v>3096.85</v>
      </c>
      <c r="M22" s="197">
        <f>1800+7154.72</f>
        <v>8954.7200000000012</v>
      </c>
      <c r="N22" s="197">
        <v>7154.72</v>
      </c>
      <c r="O22" s="197">
        <v>121.85</v>
      </c>
      <c r="P22" s="308">
        <f t="shared" si="1"/>
        <v>233123.56000000003</v>
      </c>
      <c r="Q22" s="289">
        <f>'[2]Смета расходов Тариф'!D6</f>
        <v>311.81</v>
      </c>
      <c r="R22" s="278" t="s">
        <v>680</v>
      </c>
      <c r="S22" s="289">
        <f>P22/1000-Q22</f>
        <v>-78.686439999999976</v>
      </c>
    </row>
    <row r="23" spans="1:19" ht="15" x14ac:dyDescent="0.25">
      <c r="A23" s="278">
        <f t="shared" si="2"/>
        <v>20</v>
      </c>
      <c r="B23" s="279" t="s">
        <v>679</v>
      </c>
      <c r="C23" s="279" t="s">
        <v>698</v>
      </c>
      <c r="D23" s="197">
        <v>0</v>
      </c>
      <c r="E23" s="197">
        <v>0</v>
      </c>
      <c r="F23" s="199">
        <f>47761+160795</f>
        <v>208556</v>
      </c>
      <c r="G23" s="197">
        <v>0</v>
      </c>
      <c r="H23" s="197">
        <v>0</v>
      </c>
      <c r="I23" s="197">
        <f>47761+157954</f>
        <v>205715</v>
      </c>
      <c r="J23" s="197">
        <v>0</v>
      </c>
      <c r="K23" s="197"/>
      <c r="L23" s="197">
        <f>155113+47761</f>
        <v>202874</v>
      </c>
      <c r="M23" s="197"/>
      <c r="N23" s="197"/>
      <c r="O23" s="197">
        <f>47762+147519</f>
        <v>195281</v>
      </c>
      <c r="P23" s="289">
        <f t="shared" si="1"/>
        <v>812426</v>
      </c>
      <c r="Q23" s="289">
        <f>'[2]Смета расходов Тариф'!D14</f>
        <v>781.05</v>
      </c>
      <c r="R23" s="288" t="s">
        <v>680</v>
      </c>
      <c r="S23" s="289">
        <f>P23/1000-Q23</f>
        <v>31.37600000000009</v>
      </c>
    </row>
    <row r="24" spans="1:19" ht="15" hidden="1" x14ac:dyDescent="0.25">
      <c r="A24" s="278">
        <f t="shared" si="2"/>
        <v>21</v>
      </c>
      <c r="B24" s="233" t="s">
        <v>699</v>
      </c>
      <c r="C24" s="234"/>
      <c r="D24" s="208">
        <f>SUM(D25:D58)</f>
        <v>0</v>
      </c>
      <c r="E24" s="208">
        <f>SUM(E25:E58)</f>
        <v>0</v>
      </c>
      <c r="F24" s="208">
        <f t="shared" ref="F24:O24" si="4">SUM(F25:F58)</f>
        <v>0</v>
      </c>
      <c r="G24" s="208">
        <f>SUM(G25:G58)</f>
        <v>0</v>
      </c>
      <c r="H24" s="208">
        <f t="shared" si="4"/>
        <v>0</v>
      </c>
      <c r="I24" s="208">
        <f t="shared" si="4"/>
        <v>0</v>
      </c>
      <c r="J24" s="208">
        <f t="shared" si="4"/>
        <v>0</v>
      </c>
      <c r="K24" s="208">
        <f t="shared" si="4"/>
        <v>0</v>
      </c>
      <c r="L24" s="208">
        <f t="shared" si="4"/>
        <v>0</v>
      </c>
      <c r="M24" s="208">
        <f t="shared" si="4"/>
        <v>0</v>
      </c>
      <c r="N24" s="208">
        <f t="shared" si="4"/>
        <v>0</v>
      </c>
      <c r="O24" s="208">
        <f t="shared" si="4"/>
        <v>0</v>
      </c>
      <c r="P24" s="289">
        <f t="shared" ref="P24:P58" si="5">SUM(D24:O24)</f>
        <v>0</v>
      </c>
      <c r="Q24" s="279"/>
      <c r="S24" s="289">
        <f t="shared" si="3"/>
        <v>0</v>
      </c>
    </row>
    <row r="25" spans="1:19" ht="15" hidden="1" x14ac:dyDescent="0.25">
      <c r="A25" s="278">
        <f t="shared" si="2"/>
        <v>22</v>
      </c>
      <c r="B25" s="279" t="s">
        <v>700</v>
      </c>
      <c r="C25" s="194" t="s">
        <v>701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289">
        <f t="shared" si="5"/>
        <v>0</v>
      </c>
      <c r="Q25" s="279"/>
      <c r="S25" s="289">
        <f t="shared" si="3"/>
        <v>0</v>
      </c>
    </row>
    <row r="26" spans="1:19" ht="25.5" hidden="1" x14ac:dyDescent="0.25">
      <c r="A26" s="278">
        <f t="shared" si="2"/>
        <v>23</v>
      </c>
      <c r="B26" s="279" t="s">
        <v>700</v>
      </c>
      <c r="C26" s="194" t="s">
        <v>171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289">
        <f t="shared" si="5"/>
        <v>0</v>
      </c>
      <c r="Q26" s="279"/>
      <c r="S26" s="289">
        <f t="shared" si="3"/>
        <v>0</v>
      </c>
    </row>
    <row r="27" spans="1:19" ht="0.75" hidden="1" customHeight="1" x14ac:dyDescent="0.25">
      <c r="A27" s="278">
        <f t="shared" si="2"/>
        <v>24</v>
      </c>
      <c r="S27" s="289">
        <f t="shared" si="3"/>
        <v>0</v>
      </c>
    </row>
    <row r="28" spans="1:19" ht="15" hidden="1" x14ac:dyDescent="0.25">
      <c r="A28" s="278">
        <f t="shared" si="2"/>
        <v>25</v>
      </c>
      <c r="B28" s="279" t="s">
        <v>700</v>
      </c>
      <c r="C28" s="194" t="s">
        <v>172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289">
        <f t="shared" si="5"/>
        <v>0</v>
      </c>
      <c r="Q28" s="279"/>
      <c r="S28" s="289">
        <f t="shared" si="3"/>
        <v>0</v>
      </c>
    </row>
    <row r="29" spans="1:19" ht="15" hidden="1" x14ac:dyDescent="0.25">
      <c r="A29" s="278">
        <f t="shared" si="2"/>
        <v>26</v>
      </c>
      <c r="B29" s="279"/>
      <c r="C29" s="194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289"/>
      <c r="Q29" s="279"/>
      <c r="S29" s="289">
        <f t="shared" si="3"/>
        <v>0</v>
      </c>
    </row>
    <row r="30" spans="1:19" ht="15" hidden="1" x14ac:dyDescent="0.25">
      <c r="A30" s="278">
        <f t="shared" si="2"/>
        <v>27</v>
      </c>
      <c r="B30" s="279" t="s">
        <v>700</v>
      </c>
      <c r="C30" s="194" t="s">
        <v>173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289">
        <f t="shared" si="5"/>
        <v>0</v>
      </c>
      <c r="Q30" s="279"/>
      <c r="S30" s="289">
        <f t="shared" si="3"/>
        <v>0</v>
      </c>
    </row>
    <row r="31" spans="1:19" ht="15" hidden="1" x14ac:dyDescent="0.25">
      <c r="A31" s="278">
        <f t="shared" si="2"/>
        <v>28</v>
      </c>
      <c r="B31" s="279"/>
      <c r="C31" s="194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289"/>
      <c r="Q31" s="279"/>
      <c r="S31" s="289">
        <f t="shared" si="3"/>
        <v>0</v>
      </c>
    </row>
    <row r="32" spans="1:19" ht="15" hidden="1" x14ac:dyDescent="0.25">
      <c r="A32" s="278">
        <f t="shared" si="2"/>
        <v>29</v>
      </c>
      <c r="B32" s="279" t="s">
        <v>700</v>
      </c>
      <c r="C32" s="194" t="s">
        <v>174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289">
        <f t="shared" si="5"/>
        <v>0</v>
      </c>
      <c r="Q32" s="279"/>
      <c r="S32" s="289">
        <f t="shared" si="3"/>
        <v>0</v>
      </c>
    </row>
    <row r="33" spans="1:19" ht="15" hidden="1" x14ac:dyDescent="0.25">
      <c r="A33" s="278">
        <f t="shared" si="2"/>
        <v>30</v>
      </c>
      <c r="B33" s="279" t="s">
        <v>700</v>
      </c>
      <c r="C33" s="194" t="s">
        <v>175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289">
        <f t="shared" si="5"/>
        <v>0</v>
      </c>
      <c r="Q33" s="279"/>
      <c r="S33" s="289">
        <f t="shared" si="3"/>
        <v>0</v>
      </c>
    </row>
    <row r="34" spans="1:19" ht="15" hidden="1" x14ac:dyDescent="0.25">
      <c r="A34" s="278">
        <f t="shared" si="2"/>
        <v>31</v>
      </c>
      <c r="B34" s="279"/>
      <c r="C34" s="194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289"/>
      <c r="Q34" s="279"/>
      <c r="S34" s="289">
        <f t="shared" si="3"/>
        <v>0</v>
      </c>
    </row>
    <row r="35" spans="1:19" ht="15" hidden="1" x14ac:dyDescent="0.25">
      <c r="A35" s="278">
        <f t="shared" si="2"/>
        <v>32</v>
      </c>
      <c r="B35" s="279" t="s">
        <v>700</v>
      </c>
      <c r="C35" s="194" t="s">
        <v>702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289">
        <f t="shared" si="5"/>
        <v>0</v>
      </c>
      <c r="Q35" s="279"/>
      <c r="S35" s="289">
        <f t="shared" si="3"/>
        <v>0</v>
      </c>
    </row>
    <row r="36" spans="1:19" ht="15" hidden="1" x14ac:dyDescent="0.25">
      <c r="A36" s="278">
        <f t="shared" si="2"/>
        <v>33</v>
      </c>
      <c r="B36" s="279" t="s">
        <v>700</v>
      </c>
      <c r="C36" s="194" t="s">
        <v>167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289">
        <f t="shared" si="5"/>
        <v>0</v>
      </c>
      <c r="Q36" s="279"/>
      <c r="S36" s="289">
        <f t="shared" si="3"/>
        <v>0</v>
      </c>
    </row>
    <row r="37" spans="1:19" ht="15" hidden="1" x14ac:dyDescent="0.25">
      <c r="A37" s="278">
        <f t="shared" si="2"/>
        <v>34</v>
      </c>
      <c r="B37" s="279" t="s">
        <v>700</v>
      </c>
      <c r="C37" s="194" t="s">
        <v>192</v>
      </c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289">
        <f>SUM(D37:O37)</f>
        <v>0</v>
      </c>
      <c r="Q37" s="279"/>
      <c r="S37" s="289">
        <f t="shared" si="3"/>
        <v>0</v>
      </c>
    </row>
    <row r="38" spans="1:19" ht="15" hidden="1" x14ac:dyDescent="0.25">
      <c r="A38" s="278">
        <f t="shared" si="2"/>
        <v>35</v>
      </c>
      <c r="B38" s="279" t="s">
        <v>700</v>
      </c>
      <c r="C38" s="194" t="s">
        <v>168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289">
        <f>SUM(D38:O38)</f>
        <v>0</v>
      </c>
      <c r="Q38" s="289"/>
      <c r="S38" s="289">
        <f t="shared" si="3"/>
        <v>0</v>
      </c>
    </row>
    <row r="39" spans="1:19" ht="15" hidden="1" x14ac:dyDescent="0.25">
      <c r="A39" s="278">
        <f t="shared" si="2"/>
        <v>36</v>
      </c>
      <c r="B39" s="279" t="s">
        <v>700</v>
      </c>
      <c r="C39" s="194" t="s">
        <v>703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289">
        <f>SUM(D39:O39)</f>
        <v>0</v>
      </c>
      <c r="Q39" s="279"/>
      <c r="S39" s="289">
        <f t="shared" si="3"/>
        <v>0</v>
      </c>
    </row>
    <row r="40" spans="1:19" ht="15" hidden="1" x14ac:dyDescent="0.25">
      <c r="A40" s="278">
        <f t="shared" si="2"/>
        <v>37</v>
      </c>
      <c r="B40" s="279" t="s">
        <v>700</v>
      </c>
      <c r="C40" s="194" t="s">
        <v>704</v>
      </c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289">
        <f>SUM(D40:O40)</f>
        <v>0</v>
      </c>
      <c r="Q40" s="279"/>
      <c r="S40" s="289">
        <f t="shared" si="3"/>
        <v>0</v>
      </c>
    </row>
    <row r="41" spans="1:19" ht="15" hidden="1" x14ac:dyDescent="0.25">
      <c r="A41" s="278">
        <f t="shared" si="2"/>
        <v>38</v>
      </c>
      <c r="B41" s="304" t="s">
        <v>700</v>
      </c>
      <c r="C41" s="194" t="s">
        <v>705</v>
      </c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289">
        <f t="shared" si="5"/>
        <v>0</v>
      </c>
      <c r="Q41" s="279"/>
      <c r="S41" s="289">
        <f t="shared" si="3"/>
        <v>0</v>
      </c>
    </row>
    <row r="42" spans="1:19" ht="15" hidden="1" x14ac:dyDescent="0.25">
      <c r="A42" s="278">
        <f t="shared" si="2"/>
        <v>39</v>
      </c>
      <c r="B42" s="279"/>
      <c r="C42" s="194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289"/>
      <c r="Q42" s="279"/>
      <c r="S42" s="289">
        <f t="shared" si="3"/>
        <v>0</v>
      </c>
    </row>
    <row r="43" spans="1:19" ht="15" hidden="1" x14ac:dyDescent="0.25">
      <c r="A43" s="278">
        <f t="shared" si="2"/>
        <v>40</v>
      </c>
      <c r="B43" s="279"/>
      <c r="C43" s="194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289"/>
      <c r="Q43" s="279"/>
      <c r="S43" s="289">
        <f t="shared" si="3"/>
        <v>0</v>
      </c>
    </row>
    <row r="44" spans="1:19" ht="15" hidden="1" x14ac:dyDescent="0.25">
      <c r="A44" s="278">
        <f t="shared" si="2"/>
        <v>41</v>
      </c>
      <c r="B44" s="305"/>
      <c r="C44" s="211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89"/>
      <c r="Q44" s="279"/>
      <c r="S44" s="289">
        <f t="shared" si="3"/>
        <v>0</v>
      </c>
    </row>
    <row r="45" spans="1:19" ht="15" hidden="1" x14ac:dyDescent="0.25">
      <c r="A45" s="278">
        <f t="shared" si="2"/>
        <v>42</v>
      </c>
      <c r="B45" s="305"/>
      <c r="C45" s="211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289"/>
      <c r="Q45" s="279"/>
      <c r="S45" s="289">
        <f t="shared" si="3"/>
        <v>0</v>
      </c>
    </row>
    <row r="46" spans="1:19" ht="15" hidden="1" x14ac:dyDescent="0.25">
      <c r="A46" s="278">
        <f t="shared" si="2"/>
        <v>43</v>
      </c>
      <c r="B46" s="279" t="s">
        <v>700</v>
      </c>
      <c r="C46" s="194" t="s">
        <v>706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289">
        <f t="shared" si="5"/>
        <v>0</v>
      </c>
      <c r="Q46" s="279"/>
      <c r="S46" s="289">
        <f t="shared" si="3"/>
        <v>0</v>
      </c>
    </row>
    <row r="47" spans="1:19" ht="15" hidden="1" x14ac:dyDescent="0.25">
      <c r="A47" s="278">
        <f t="shared" si="2"/>
        <v>44</v>
      </c>
      <c r="B47" s="279" t="s">
        <v>700</v>
      </c>
      <c r="C47" s="194" t="s">
        <v>707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289">
        <f t="shared" si="5"/>
        <v>0</v>
      </c>
      <c r="Q47" s="279"/>
      <c r="S47" s="289">
        <f t="shared" si="3"/>
        <v>0</v>
      </c>
    </row>
    <row r="48" spans="1:19" ht="15" hidden="1" x14ac:dyDescent="0.25">
      <c r="A48" s="278">
        <f t="shared" si="2"/>
        <v>45</v>
      </c>
      <c r="B48" s="279" t="s">
        <v>700</v>
      </c>
      <c r="C48" s="194" t="s">
        <v>708</v>
      </c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289">
        <f t="shared" si="5"/>
        <v>0</v>
      </c>
      <c r="Q48" s="279"/>
      <c r="S48" s="289">
        <f t="shared" si="3"/>
        <v>0</v>
      </c>
    </row>
    <row r="49" spans="1:19" ht="15" hidden="1" x14ac:dyDescent="0.25">
      <c r="A49" s="278">
        <f t="shared" si="2"/>
        <v>46</v>
      </c>
      <c r="B49" s="279"/>
      <c r="C49" s="194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289"/>
      <c r="Q49" s="279"/>
      <c r="S49" s="289">
        <f t="shared" si="3"/>
        <v>0</v>
      </c>
    </row>
    <row r="50" spans="1:19" ht="15" hidden="1" x14ac:dyDescent="0.25">
      <c r="A50" s="278">
        <f t="shared" si="2"/>
        <v>47</v>
      </c>
      <c r="B50" s="279" t="s">
        <v>700</v>
      </c>
      <c r="C50" s="194" t="s">
        <v>688</v>
      </c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289">
        <f t="shared" si="5"/>
        <v>0</v>
      </c>
      <c r="Q50" s="279"/>
      <c r="S50" s="289">
        <f t="shared" si="3"/>
        <v>0</v>
      </c>
    </row>
    <row r="51" spans="1:19" ht="15" hidden="1" x14ac:dyDescent="0.25">
      <c r="A51" s="278">
        <f t="shared" si="2"/>
        <v>48</v>
      </c>
      <c r="B51" s="279" t="s">
        <v>700</v>
      </c>
      <c r="C51" s="194" t="s">
        <v>709</v>
      </c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289">
        <f>SUM(D51:O51)</f>
        <v>0</v>
      </c>
      <c r="Q51" s="279"/>
      <c r="S51" s="289">
        <f t="shared" si="3"/>
        <v>0</v>
      </c>
    </row>
    <row r="52" spans="1:19" ht="15" hidden="1" x14ac:dyDescent="0.25">
      <c r="A52" s="278">
        <f t="shared" si="2"/>
        <v>49</v>
      </c>
      <c r="B52" s="279" t="s">
        <v>700</v>
      </c>
      <c r="C52" s="194" t="s">
        <v>695</v>
      </c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289">
        <f t="shared" si="5"/>
        <v>0</v>
      </c>
      <c r="Q52" s="279"/>
      <c r="S52" s="289">
        <f t="shared" si="3"/>
        <v>0</v>
      </c>
    </row>
    <row r="53" spans="1:19" ht="25.5" hidden="1" x14ac:dyDescent="0.25">
      <c r="A53" s="278">
        <f t="shared" si="2"/>
        <v>50</v>
      </c>
      <c r="B53" s="279" t="s">
        <v>700</v>
      </c>
      <c r="C53" s="194" t="s">
        <v>179</v>
      </c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289">
        <f t="shared" si="5"/>
        <v>0</v>
      </c>
      <c r="Q53" s="279"/>
      <c r="S53" s="289">
        <f t="shared" si="3"/>
        <v>0</v>
      </c>
    </row>
    <row r="54" spans="1:19" ht="15" hidden="1" x14ac:dyDescent="0.25">
      <c r="A54" s="278">
        <f t="shared" si="2"/>
        <v>51</v>
      </c>
      <c r="B54" s="279" t="s">
        <v>700</v>
      </c>
      <c r="C54" s="194" t="s">
        <v>196</v>
      </c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289">
        <f>SUM(D54:O54)</f>
        <v>0</v>
      </c>
      <c r="Q54" s="279"/>
      <c r="S54" s="289">
        <f t="shared" si="3"/>
        <v>0</v>
      </c>
    </row>
    <row r="55" spans="1:19" ht="15" hidden="1" x14ac:dyDescent="0.25">
      <c r="A55" s="278">
        <f t="shared" si="2"/>
        <v>52</v>
      </c>
      <c r="S55" s="289">
        <f t="shared" si="3"/>
        <v>0</v>
      </c>
    </row>
    <row r="56" spans="1:19" ht="15" hidden="1" x14ac:dyDescent="0.25">
      <c r="A56" s="278">
        <f t="shared" si="2"/>
        <v>53</v>
      </c>
      <c r="S56" s="289">
        <f t="shared" si="3"/>
        <v>0</v>
      </c>
    </row>
    <row r="57" spans="1:19" ht="15" hidden="1" x14ac:dyDescent="0.25">
      <c r="A57" s="278">
        <f t="shared" si="2"/>
        <v>54</v>
      </c>
      <c r="S57" s="289">
        <f t="shared" si="3"/>
        <v>0</v>
      </c>
    </row>
    <row r="58" spans="1:19" ht="15" hidden="1" x14ac:dyDescent="0.25">
      <c r="A58" s="278">
        <f t="shared" si="2"/>
        <v>55</v>
      </c>
      <c r="B58" s="279" t="s">
        <v>700</v>
      </c>
      <c r="C58" s="194" t="s">
        <v>184</v>
      </c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289">
        <f t="shared" si="5"/>
        <v>0</v>
      </c>
      <c r="Q58" s="279"/>
      <c r="S58" s="289">
        <f t="shared" si="3"/>
        <v>0</v>
      </c>
    </row>
    <row r="59" spans="1:19" ht="16.5" customHeight="1" x14ac:dyDescent="0.25">
      <c r="B59" s="279"/>
      <c r="C59" s="213" t="s">
        <v>185</v>
      </c>
      <c r="D59" s="208">
        <f>D24+D3</f>
        <v>2921039.6399999997</v>
      </c>
      <c r="E59" s="208">
        <f>E24+E3</f>
        <v>2124858.34</v>
      </c>
      <c r="F59" s="208">
        <f>F24+F3-F23</f>
        <v>2173667.83</v>
      </c>
      <c r="G59" s="208">
        <f>G24+G3</f>
        <v>1571402.35</v>
      </c>
      <c r="H59" s="208">
        <f>H24+H3</f>
        <v>1764600.1</v>
      </c>
      <c r="I59" s="208">
        <f>I24+I3-I23</f>
        <v>1911422.92</v>
      </c>
      <c r="J59" s="208">
        <f>J24+J3</f>
        <v>2319544.35</v>
      </c>
      <c r="K59" s="208">
        <f>K24+K3</f>
        <v>2724878.9099999997</v>
      </c>
      <c r="L59" s="208">
        <f>L24+L3-L23</f>
        <v>2719870.88</v>
      </c>
      <c r="M59" s="208">
        <f>M24+M3</f>
        <v>1938089.68</v>
      </c>
      <c r="N59" s="208">
        <f>N24+N3</f>
        <v>3851284.1500000004</v>
      </c>
      <c r="O59" s="208">
        <f>O24+O3-O23</f>
        <v>3381781.0500000007</v>
      </c>
      <c r="P59" s="289">
        <f>SUM(D59:O59)</f>
        <v>29402440.199999999</v>
      </c>
      <c r="Q59" s="289">
        <f>SUM(Q4:Q23)</f>
        <v>30976.17</v>
      </c>
      <c r="S59" s="289"/>
    </row>
    <row r="60" spans="1:19" ht="15" x14ac:dyDescent="0.25">
      <c r="D60" s="288">
        <f>D3-D59</f>
        <v>0</v>
      </c>
      <c r="E60" s="288">
        <f>E3-E59</f>
        <v>0</v>
      </c>
      <c r="F60" s="288">
        <f>F59-F3</f>
        <v>-208556</v>
      </c>
      <c r="G60" s="288">
        <f t="shared" ref="G60:O60" si="6">G59-G3</f>
        <v>0</v>
      </c>
      <c r="H60" s="288">
        <f t="shared" si="6"/>
        <v>0</v>
      </c>
      <c r="I60" s="288">
        <f t="shared" si="6"/>
        <v>-205715</v>
      </c>
      <c r="J60" s="288">
        <f t="shared" si="6"/>
        <v>0</v>
      </c>
      <c r="K60" s="288">
        <f t="shared" si="6"/>
        <v>0</v>
      </c>
      <c r="L60" s="288">
        <f t="shared" si="6"/>
        <v>-202874</v>
      </c>
      <c r="M60" s="288">
        <f t="shared" si="6"/>
        <v>0</v>
      </c>
      <c r="N60" s="288">
        <f t="shared" si="6"/>
        <v>0</v>
      </c>
      <c r="O60" s="288">
        <f t="shared" si="6"/>
        <v>-195281</v>
      </c>
      <c r="P60" s="288"/>
      <c r="Q60" s="306">
        <f>Q59-Q14</f>
        <v>27829.51</v>
      </c>
    </row>
  </sheetData>
  <autoFilter ref="B1:Q59"/>
  <mergeCells count="7">
    <mergeCell ref="B24:C24"/>
    <mergeCell ref="B3:C3"/>
    <mergeCell ref="Q6:Q13"/>
    <mergeCell ref="S6:S13"/>
    <mergeCell ref="Q14:Q16"/>
    <mergeCell ref="S14:S16"/>
    <mergeCell ref="R16:R20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8"/>
  <sheetViews>
    <sheetView workbookViewId="0">
      <selection activeCell="C71" sqref="C71"/>
    </sheetView>
  </sheetViews>
  <sheetFormatPr defaultRowHeight="15" x14ac:dyDescent="0.25"/>
  <cols>
    <col min="3" max="3" width="78.42578125" customWidth="1"/>
    <col min="4" max="15" width="11.28515625" hidden="1" customWidth="1"/>
    <col min="16" max="16" width="12.28515625" bestFit="1" customWidth="1"/>
    <col min="17" max="17" width="8.85546875" bestFit="1" customWidth="1"/>
    <col min="18" max="18" width="9.28515625" bestFit="1" customWidth="1"/>
    <col min="19" max="19" width="8.42578125" bestFit="1" customWidth="1"/>
  </cols>
  <sheetData>
    <row r="1" spans="1:19" x14ac:dyDescent="0.25">
      <c r="A1" s="184"/>
      <c r="B1" s="185"/>
      <c r="C1" s="186" t="s">
        <v>673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4"/>
      <c r="S1" s="184"/>
    </row>
    <row r="2" spans="1:19" ht="38.25" x14ac:dyDescent="0.25">
      <c r="A2" s="184"/>
      <c r="B2" s="187" t="s">
        <v>674</v>
      </c>
      <c r="C2" s="185"/>
      <c r="D2" s="188" t="s">
        <v>131</v>
      </c>
      <c r="E2" s="188" t="s">
        <v>132</v>
      </c>
      <c r="F2" s="188" t="s">
        <v>133</v>
      </c>
      <c r="G2" s="188" t="s">
        <v>134</v>
      </c>
      <c r="H2" s="188" t="s">
        <v>135</v>
      </c>
      <c r="I2" s="188" t="s">
        <v>136</v>
      </c>
      <c r="J2" s="188" t="s">
        <v>0</v>
      </c>
      <c r="K2" s="188" t="s">
        <v>1</v>
      </c>
      <c r="L2" s="188" t="s">
        <v>2</v>
      </c>
      <c r="M2" s="188" t="s">
        <v>137</v>
      </c>
      <c r="N2" s="188" t="s">
        <v>138</v>
      </c>
      <c r="O2" s="188" t="s">
        <v>139</v>
      </c>
      <c r="P2" s="189" t="s">
        <v>675</v>
      </c>
      <c r="Q2" s="189" t="s">
        <v>676</v>
      </c>
      <c r="R2" s="190" t="s">
        <v>677</v>
      </c>
      <c r="S2" s="189" t="s">
        <v>678</v>
      </c>
    </row>
    <row r="3" spans="1:19" x14ac:dyDescent="0.25">
      <c r="A3" s="184"/>
      <c r="B3" s="235" t="s">
        <v>676</v>
      </c>
      <c r="C3" s="236"/>
      <c r="D3" s="191">
        <f t="shared" ref="D3:N3" si="0">SUM(D4:D26)</f>
        <v>2454170.7200000002</v>
      </c>
      <c r="E3" s="191">
        <f t="shared" si="0"/>
        <v>1800303.3799999997</v>
      </c>
      <c r="F3" s="191">
        <f t="shared" si="0"/>
        <v>2252764.1399999997</v>
      </c>
      <c r="G3" s="191">
        <f t="shared" si="0"/>
        <v>2340010.96</v>
      </c>
      <c r="H3" s="191">
        <f t="shared" si="0"/>
        <v>1655108.2600000002</v>
      </c>
      <c r="I3" s="191">
        <f t="shared" si="0"/>
        <v>2527673.3400000003</v>
      </c>
      <c r="J3" s="191">
        <f t="shared" si="0"/>
        <v>2283826.67</v>
      </c>
      <c r="K3" s="191">
        <f t="shared" si="0"/>
        <v>3102700.3699999996</v>
      </c>
      <c r="L3" s="191">
        <f t="shared" si="0"/>
        <v>3370013.3499999996</v>
      </c>
      <c r="M3" s="191">
        <f t="shared" si="0"/>
        <v>1946182.01</v>
      </c>
      <c r="N3" s="191">
        <f t="shared" si="0"/>
        <v>4237625.07</v>
      </c>
      <c r="O3" s="191">
        <f>SUM(O4:O26)-O20</f>
        <v>2225419.61</v>
      </c>
      <c r="P3" s="191">
        <f>SUM(P4:P26)</f>
        <v>30195797.879999999</v>
      </c>
      <c r="Q3" s="214">
        <f>SUM(Q4:Q26)</f>
        <v>29261.484999999997</v>
      </c>
      <c r="R3" s="192">
        <f>Q3-P3/1000</f>
        <v>-934.31288000000131</v>
      </c>
      <c r="S3" s="193">
        <f>P3/1000-Q3</f>
        <v>934.31288000000131</v>
      </c>
    </row>
    <row r="4" spans="1:19" x14ac:dyDescent="0.25">
      <c r="A4" s="184">
        <v>1</v>
      </c>
      <c r="B4" s="185" t="s">
        <v>679</v>
      </c>
      <c r="C4" s="194" t="s">
        <v>167</v>
      </c>
      <c r="D4" s="195">
        <f>617557.22+146220.52</f>
        <v>763777.74</v>
      </c>
      <c r="E4" s="195">
        <f>170641.38+601630.21</f>
        <v>772271.59</v>
      </c>
      <c r="F4" s="195">
        <f>150746+589143.07</f>
        <v>739889.07</v>
      </c>
      <c r="G4" s="195">
        <f>589115.36+165511.63</f>
        <v>754626.99</v>
      </c>
      <c r="H4" s="195">
        <f>138697.2+532884.9</f>
        <v>671582.10000000009</v>
      </c>
      <c r="I4" s="195">
        <f>570470.51+167375.63</f>
        <v>737846.14</v>
      </c>
      <c r="J4" s="195">
        <f>527708.07+169508.19</f>
        <v>697216.26</v>
      </c>
      <c r="K4" s="195">
        <f>511967.54+126882.03</f>
        <v>638849.56999999995</v>
      </c>
      <c r="L4" s="195">
        <f>476895.77+140527.22</f>
        <v>617422.99</v>
      </c>
      <c r="M4" s="195">
        <f>552144.1+130128.13</f>
        <v>682272.23</v>
      </c>
      <c r="N4" s="195">
        <f>589414.62+188415.53</f>
        <v>777830.15</v>
      </c>
      <c r="O4" s="195">
        <f>128965.24+752838.36</f>
        <v>881803.6</v>
      </c>
      <c r="P4" s="196">
        <f>SUM(D4:O4)</f>
        <v>8735388.4299999997</v>
      </c>
      <c r="Q4" s="196">
        <f>'[1]Смета расходов Тариф'!D5</f>
        <v>8378.3799999999992</v>
      </c>
      <c r="R4" s="184" t="s">
        <v>680</v>
      </c>
      <c r="S4" s="193">
        <f>P4/1000-Q4</f>
        <v>357.00842999999986</v>
      </c>
    </row>
    <row r="5" spans="1:19" x14ac:dyDescent="0.25">
      <c r="A5" s="184">
        <f>A4+1</f>
        <v>2</v>
      </c>
      <c r="B5" s="185" t="s">
        <v>679</v>
      </c>
      <c r="C5" s="194" t="s">
        <v>168</v>
      </c>
      <c r="D5" s="195">
        <f>185252.15+2470.01+42716.57+569.56</f>
        <v>231008.29</v>
      </c>
      <c r="E5" s="195">
        <f>180474.08+2381.88+51177.4+682.37</f>
        <v>234715.72999999998</v>
      </c>
      <c r="F5" s="195">
        <f>176727.93+2356.41+45208.77+602.77</f>
        <v>224895.87999999998</v>
      </c>
      <c r="G5" s="195">
        <f>32541.41+661.84+107705.87+2351.97</f>
        <v>143261.09</v>
      </c>
      <c r="H5" s="195">
        <f>100277.33+2128.9+28091.9+554.61</f>
        <v>131052.74</v>
      </c>
      <c r="I5" s="195">
        <f>33002.48+669.3+105215.19+2281.73</f>
        <v>141168.70000000001</v>
      </c>
      <c r="J5" s="195">
        <f>99266.48+2095.21+33669.1+677.82</f>
        <v>135708.61000000002</v>
      </c>
      <c r="K5" s="195">
        <f>26058.64+507.34+100766.4+2047.7</f>
        <v>129380.07999999999</v>
      </c>
      <c r="L5" s="195">
        <f>28912.36+558.82+93504.01+1904.9</f>
        <v>124880.09</v>
      </c>
      <c r="M5" s="195">
        <f>27594.67+520.33+107939.1+2208.36</f>
        <v>138262.46</v>
      </c>
      <c r="N5" s="195">
        <f>34976.2+753.5+118487.58+2357.59</f>
        <v>156574.87</v>
      </c>
      <c r="O5" s="195">
        <f>132491.97+2850.96+26389.35+512.81</f>
        <v>162245.09</v>
      </c>
      <c r="P5" s="196">
        <f t="shared" ref="P5:P26" si="1">SUM(D5:O5)</f>
        <v>1953153.6300000001</v>
      </c>
      <c r="Q5" s="204">
        <f>'[1]Смета расходов Тариф'!D12</f>
        <v>2563.79</v>
      </c>
      <c r="R5" s="184" t="s">
        <v>680</v>
      </c>
      <c r="S5" s="193">
        <f>P5/1000-Q5</f>
        <v>-610.63636999999994</v>
      </c>
    </row>
    <row r="6" spans="1:19" x14ac:dyDescent="0.25">
      <c r="A6" s="184">
        <f t="shared" ref="A6:A61" si="2">A5+1</f>
        <v>3</v>
      </c>
      <c r="B6" s="185" t="s">
        <v>679</v>
      </c>
      <c r="C6" s="194" t="s">
        <v>681</v>
      </c>
      <c r="D6" s="197">
        <v>0</v>
      </c>
      <c r="E6" s="197">
        <v>0</v>
      </c>
      <c r="F6" s="197">
        <v>0</v>
      </c>
      <c r="G6" s="197">
        <v>0</v>
      </c>
      <c r="H6" s="197">
        <v>0</v>
      </c>
      <c r="I6" s="197">
        <v>0</v>
      </c>
      <c r="J6" s="197">
        <v>0</v>
      </c>
      <c r="K6" s="197">
        <v>0</v>
      </c>
      <c r="L6" s="197">
        <v>0</v>
      </c>
      <c r="M6" s="197">
        <v>0</v>
      </c>
      <c r="N6" s="197">
        <v>0</v>
      </c>
      <c r="O6" s="197">
        <v>0</v>
      </c>
      <c r="P6" s="193">
        <f t="shared" si="1"/>
        <v>0</v>
      </c>
      <c r="Q6" s="237">
        <f>'[1]Смета расходов Тариф'!D8+'[1]Смета расходов Тариф'!D20</f>
        <v>693.59500000000003</v>
      </c>
      <c r="R6" s="198" t="s">
        <v>682</v>
      </c>
      <c r="S6" s="240">
        <f>SUM(P6:P16)/1000-Q6</f>
        <v>58.535069999999905</v>
      </c>
    </row>
    <row r="7" spans="1:19" x14ac:dyDescent="0.25">
      <c r="A7" s="184">
        <f t="shared" si="2"/>
        <v>4</v>
      </c>
      <c r="B7" s="185" t="s">
        <v>679</v>
      </c>
      <c r="C7" s="194" t="s">
        <v>683</v>
      </c>
      <c r="D7" s="197">
        <v>0</v>
      </c>
      <c r="E7" s="197">
        <v>0</v>
      </c>
      <c r="F7" s="197">
        <v>0</v>
      </c>
      <c r="G7" s="197">
        <v>0</v>
      </c>
      <c r="H7" s="197">
        <v>0</v>
      </c>
      <c r="I7" s="197">
        <v>0</v>
      </c>
      <c r="J7" s="197">
        <v>0</v>
      </c>
      <c r="K7" s="197">
        <v>0</v>
      </c>
      <c r="L7" s="197">
        <v>0</v>
      </c>
      <c r="M7" s="197">
        <v>0</v>
      </c>
      <c r="N7" s="197">
        <v>0</v>
      </c>
      <c r="O7" s="197">
        <v>0</v>
      </c>
      <c r="P7" s="193">
        <f t="shared" si="1"/>
        <v>0</v>
      </c>
      <c r="Q7" s="238"/>
      <c r="R7" s="184" t="s">
        <v>682</v>
      </c>
      <c r="S7" s="241"/>
    </row>
    <row r="8" spans="1:19" x14ac:dyDescent="0.25">
      <c r="A8" s="184">
        <f t="shared" si="2"/>
        <v>5</v>
      </c>
      <c r="B8" s="185" t="s">
        <v>679</v>
      </c>
      <c r="C8" s="194" t="s">
        <v>684</v>
      </c>
      <c r="D8" s="195">
        <v>8658.23</v>
      </c>
      <c r="E8" s="195">
        <v>8640.59</v>
      </c>
      <c r="F8" s="195">
        <v>8716.4699999999993</v>
      </c>
      <c r="G8" s="195">
        <v>8700.91</v>
      </c>
      <c r="H8" s="195">
        <v>8727.17</v>
      </c>
      <c r="I8" s="195">
        <v>8702.0300000000007</v>
      </c>
      <c r="J8" s="195">
        <v>8729.19</v>
      </c>
      <c r="K8" s="195">
        <v>8933.4699999999993</v>
      </c>
      <c r="L8" s="195">
        <v>8952.8700000000008</v>
      </c>
      <c r="M8" s="195">
        <v>8880.2000000000007</v>
      </c>
      <c r="N8" s="195">
        <v>12129.51</v>
      </c>
      <c r="O8" s="195">
        <v>8990.0499999999993</v>
      </c>
      <c r="P8" s="196">
        <f t="shared" si="1"/>
        <v>108760.68999999999</v>
      </c>
      <c r="Q8" s="238"/>
      <c r="R8" s="184" t="s">
        <v>682</v>
      </c>
      <c r="S8" s="241"/>
    </row>
    <row r="9" spans="1:19" x14ac:dyDescent="0.25">
      <c r="A9" s="184">
        <f t="shared" si="2"/>
        <v>6</v>
      </c>
      <c r="B9" s="185" t="s">
        <v>679</v>
      </c>
      <c r="C9" s="194" t="s">
        <v>685</v>
      </c>
      <c r="D9" s="197">
        <v>0</v>
      </c>
      <c r="E9" s="199">
        <v>0</v>
      </c>
      <c r="F9" s="197">
        <v>0</v>
      </c>
      <c r="G9" s="199">
        <v>0</v>
      </c>
      <c r="H9" s="197">
        <v>0</v>
      </c>
      <c r="I9" s="195">
        <v>16100</v>
      </c>
      <c r="J9" s="197">
        <v>0</v>
      </c>
      <c r="K9" s="195">
        <v>439.17</v>
      </c>
      <c r="L9" s="195">
        <f>33000+878.33</f>
        <v>33878.33</v>
      </c>
      <c r="M9" s="195">
        <v>1141.67</v>
      </c>
      <c r="N9" s="195">
        <v>570.83000000000004</v>
      </c>
      <c r="O9" s="195">
        <f>4000+570.83</f>
        <v>4570.83</v>
      </c>
      <c r="P9" s="196">
        <f t="shared" si="1"/>
        <v>56700.83</v>
      </c>
      <c r="Q9" s="238"/>
      <c r="R9" s="184" t="s">
        <v>682</v>
      </c>
      <c r="S9" s="241"/>
    </row>
    <row r="10" spans="1:19" x14ac:dyDescent="0.25">
      <c r="A10" s="184">
        <f t="shared" si="2"/>
        <v>7</v>
      </c>
      <c r="B10" s="185" t="s">
        <v>679</v>
      </c>
      <c r="C10" s="194" t="s">
        <v>686</v>
      </c>
      <c r="D10" s="199">
        <v>0</v>
      </c>
      <c r="E10" s="199">
        <v>0</v>
      </c>
      <c r="F10" s="199">
        <v>0</v>
      </c>
      <c r="G10" s="199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3">
        <f t="shared" si="1"/>
        <v>0</v>
      </c>
      <c r="Q10" s="238"/>
      <c r="R10" s="184" t="s">
        <v>682</v>
      </c>
      <c r="S10" s="241"/>
    </row>
    <row r="11" spans="1:19" x14ac:dyDescent="0.25">
      <c r="A11" s="184">
        <f t="shared" si="2"/>
        <v>8</v>
      </c>
      <c r="B11" s="185" t="s">
        <v>679</v>
      </c>
      <c r="C11" s="194" t="s">
        <v>687</v>
      </c>
      <c r="D11" s="195">
        <f>250.62+50689.92</f>
        <v>50940.54</v>
      </c>
      <c r="E11" s="195">
        <f>11130.26+250.6</f>
        <v>11380.86</v>
      </c>
      <c r="F11" s="195">
        <f>11292.45+250.62</f>
        <v>11543.070000000002</v>
      </c>
      <c r="G11" s="195">
        <f>11292.45+250.6</f>
        <v>11543.050000000001</v>
      </c>
      <c r="H11" s="195">
        <f>11292.45+250.62</f>
        <v>11543.070000000002</v>
      </c>
      <c r="I11" s="195">
        <f>90+50+22308.5+435+250.6</f>
        <v>23134.1</v>
      </c>
      <c r="J11" s="195">
        <f>11292.44+250.62</f>
        <v>11543.060000000001</v>
      </c>
      <c r="K11" s="195">
        <f>11292.5+250.6</f>
        <v>11543.1</v>
      </c>
      <c r="L11" s="195">
        <f>102.69+16323.87</f>
        <v>16426.560000000001</v>
      </c>
      <c r="M11" s="195">
        <f>11137.1+102.68</f>
        <v>11239.78</v>
      </c>
      <c r="N11" s="195">
        <v>11136.9</v>
      </c>
      <c r="O11" s="195">
        <v>11136.89</v>
      </c>
      <c r="P11" s="196">
        <f t="shared" si="1"/>
        <v>193110.97999999998</v>
      </c>
      <c r="Q11" s="238"/>
      <c r="R11" s="184" t="s">
        <v>682</v>
      </c>
      <c r="S11" s="241"/>
    </row>
    <row r="12" spans="1:19" x14ac:dyDescent="0.25">
      <c r="A12" s="184">
        <f t="shared" si="2"/>
        <v>9</v>
      </c>
      <c r="B12" s="185" t="s">
        <v>679</v>
      </c>
      <c r="C12" s="194" t="s">
        <v>37</v>
      </c>
      <c r="D12" s="195">
        <v>3898.63</v>
      </c>
      <c r="E12" s="195">
        <v>3989.83</v>
      </c>
      <c r="F12" s="195">
        <v>3798.19</v>
      </c>
      <c r="G12" s="195">
        <v>4957.28</v>
      </c>
      <c r="H12" s="195">
        <v>3921.46</v>
      </c>
      <c r="I12" s="195">
        <v>4064.47</v>
      </c>
      <c r="J12" s="195">
        <v>4207.2299999999996</v>
      </c>
      <c r="K12" s="195">
        <v>4405.79</v>
      </c>
      <c r="L12" s="195">
        <v>4875.29</v>
      </c>
      <c r="M12" s="195">
        <v>5224.7299999999996</v>
      </c>
      <c r="N12" s="195">
        <v>3927.98</v>
      </c>
      <c r="O12" s="195">
        <v>4552.99</v>
      </c>
      <c r="P12" s="196">
        <f t="shared" si="1"/>
        <v>51823.869999999995</v>
      </c>
      <c r="Q12" s="238"/>
      <c r="R12" s="184" t="s">
        <v>682</v>
      </c>
      <c r="S12" s="241"/>
    </row>
    <row r="13" spans="1:19" x14ac:dyDescent="0.25">
      <c r="A13" s="184">
        <f t="shared" si="2"/>
        <v>10</v>
      </c>
      <c r="B13" s="185" t="s">
        <v>676</v>
      </c>
      <c r="C13" s="194" t="s">
        <v>175</v>
      </c>
      <c r="D13" s="200">
        <v>319.37</v>
      </c>
      <c r="E13" s="200">
        <f>319.37</f>
        <v>319.37</v>
      </c>
      <c r="F13" s="200">
        <v>319.37</v>
      </c>
      <c r="G13" s="200">
        <v>319.37</v>
      </c>
      <c r="H13" s="200">
        <v>319.37</v>
      </c>
      <c r="I13" s="200">
        <v>319.37</v>
      </c>
      <c r="J13" s="200">
        <v>319.37</v>
      </c>
      <c r="K13" s="200">
        <v>319.37</v>
      </c>
      <c r="L13" s="200">
        <v>319.37</v>
      </c>
      <c r="M13" s="200">
        <v>319.37</v>
      </c>
      <c r="N13" s="200">
        <v>319.37</v>
      </c>
      <c r="O13" s="200">
        <v>319.39999999999998</v>
      </c>
      <c r="P13" s="196">
        <f>SUM(D13:O13)</f>
        <v>3832.4699999999993</v>
      </c>
      <c r="Q13" s="238"/>
      <c r="R13" s="184"/>
      <c r="S13" s="241"/>
    </row>
    <row r="14" spans="1:19" x14ac:dyDescent="0.25">
      <c r="A14" s="184">
        <f t="shared" si="2"/>
        <v>11</v>
      </c>
      <c r="B14" s="201" t="s">
        <v>676</v>
      </c>
      <c r="C14" s="194" t="s">
        <v>688</v>
      </c>
      <c r="D14" s="200">
        <v>1500</v>
      </c>
      <c r="E14" s="200">
        <v>1500</v>
      </c>
      <c r="F14" s="200">
        <v>1500</v>
      </c>
      <c r="G14" s="200">
        <v>1500</v>
      </c>
      <c r="H14" s="200">
        <v>1500</v>
      </c>
      <c r="I14" s="200">
        <v>1500</v>
      </c>
      <c r="J14" s="200">
        <v>1500</v>
      </c>
      <c r="K14" s="200">
        <v>1500</v>
      </c>
      <c r="L14" s="200">
        <v>1500</v>
      </c>
      <c r="M14" s="200">
        <v>1500</v>
      </c>
      <c r="N14" s="200">
        <v>1500</v>
      </c>
      <c r="O14" s="200">
        <v>1500</v>
      </c>
      <c r="P14" s="196">
        <f>SUM(D14:O14)</f>
        <v>18000</v>
      </c>
      <c r="Q14" s="238"/>
      <c r="R14" s="202"/>
      <c r="S14" s="241"/>
    </row>
    <row r="15" spans="1:19" x14ac:dyDescent="0.25">
      <c r="A15" s="184">
        <f t="shared" si="2"/>
        <v>12</v>
      </c>
      <c r="B15" s="185" t="s">
        <v>679</v>
      </c>
      <c r="C15" s="194" t="s">
        <v>183</v>
      </c>
      <c r="D15" s="195">
        <v>4949.2</v>
      </c>
      <c r="E15" s="195">
        <v>4949.2</v>
      </c>
      <c r="F15" s="195">
        <v>4949.2</v>
      </c>
      <c r="G15" s="195">
        <v>4949.2</v>
      </c>
      <c r="H15" s="195">
        <v>4949.2</v>
      </c>
      <c r="I15" s="195">
        <v>9949.2000000000007</v>
      </c>
      <c r="J15" s="195">
        <v>4949.2</v>
      </c>
      <c r="K15" s="195">
        <v>4949.2</v>
      </c>
      <c r="L15" s="195">
        <v>4949.2</v>
      </c>
      <c r="M15" s="195">
        <v>4949.2</v>
      </c>
      <c r="N15" s="195">
        <v>4949.2</v>
      </c>
      <c r="O15" s="195">
        <v>7126.7</v>
      </c>
      <c r="P15" s="196">
        <f t="shared" si="1"/>
        <v>66567.89999999998</v>
      </c>
      <c r="Q15" s="238"/>
      <c r="R15" s="184" t="s">
        <v>680</v>
      </c>
      <c r="S15" s="241"/>
    </row>
    <row r="16" spans="1:19" x14ac:dyDescent="0.25">
      <c r="A16" s="184">
        <f t="shared" si="2"/>
        <v>13</v>
      </c>
      <c r="B16" s="185" t="s">
        <v>676</v>
      </c>
      <c r="C16" s="194" t="s">
        <v>192</v>
      </c>
      <c r="D16" s="195">
        <v>10000</v>
      </c>
      <c r="E16" s="195">
        <v>10000</v>
      </c>
      <c r="F16" s="195">
        <v>10000</v>
      </c>
      <c r="G16" s="195">
        <v>10000</v>
      </c>
      <c r="H16" s="195">
        <v>10000</v>
      </c>
      <c r="I16" s="195">
        <v>143333.32999999999</v>
      </c>
      <c r="J16" s="195">
        <v>10000</v>
      </c>
      <c r="K16" s="195">
        <v>10000</v>
      </c>
      <c r="L16" s="195">
        <v>10000</v>
      </c>
      <c r="M16" s="195">
        <v>10000</v>
      </c>
      <c r="N16" s="195">
        <v>10000</v>
      </c>
      <c r="O16" s="195">
        <v>10000</v>
      </c>
      <c r="P16" s="196">
        <f>SUM(D16:O16)</f>
        <v>253333.33</v>
      </c>
      <c r="Q16" s="239"/>
      <c r="R16" s="184"/>
      <c r="S16" s="242"/>
    </row>
    <row r="17" spans="1:19" x14ac:dyDescent="0.25">
      <c r="A17" s="184">
        <f t="shared" si="2"/>
        <v>14</v>
      </c>
      <c r="B17" s="185" t="s">
        <v>679</v>
      </c>
      <c r="C17" s="194" t="s">
        <v>689</v>
      </c>
      <c r="D17" s="195">
        <f>5777.78</f>
        <v>5777.78</v>
      </c>
      <c r="E17" s="195">
        <v>5777.78</v>
      </c>
      <c r="F17" s="195">
        <v>5777.78</v>
      </c>
      <c r="G17" s="195">
        <v>5777.78</v>
      </c>
      <c r="H17" s="195">
        <v>5777.78</v>
      </c>
      <c r="I17" s="195">
        <v>5777.78</v>
      </c>
      <c r="J17" s="195">
        <v>5777.78</v>
      </c>
      <c r="K17" s="195">
        <v>5777.78</v>
      </c>
      <c r="L17" s="195">
        <v>5777.78</v>
      </c>
      <c r="M17" s="195">
        <v>5777.78</v>
      </c>
      <c r="N17" s="195">
        <v>5777.78</v>
      </c>
      <c r="O17" s="195">
        <v>5777.78</v>
      </c>
      <c r="P17" s="196">
        <f t="shared" si="1"/>
        <v>69333.36</v>
      </c>
      <c r="Q17" s="237">
        <f>'[1]Смета расходов Тариф'!D11</f>
        <v>2267.31</v>
      </c>
      <c r="R17" s="184" t="s">
        <v>680</v>
      </c>
      <c r="S17" s="243">
        <f>SUM(P17:P19)/1000-Q17</f>
        <v>1220.6224899999997</v>
      </c>
    </row>
    <row r="18" spans="1:19" x14ac:dyDescent="0.25">
      <c r="A18" s="184">
        <f t="shared" si="2"/>
        <v>15</v>
      </c>
      <c r="B18" s="185" t="s">
        <v>679</v>
      </c>
      <c r="C18" s="194" t="s">
        <v>690</v>
      </c>
      <c r="D18" s="195">
        <v>217197.2</v>
      </c>
      <c r="E18" s="195">
        <v>217197.2</v>
      </c>
      <c r="F18" s="195">
        <v>219720.2</v>
      </c>
      <c r="G18" s="195">
        <v>219720.2</v>
      </c>
      <c r="H18" s="195">
        <v>219720.2</v>
      </c>
      <c r="I18" s="195">
        <v>219720.2</v>
      </c>
      <c r="J18" s="195">
        <v>219720.2</v>
      </c>
      <c r="K18" s="195">
        <v>219720.31</v>
      </c>
      <c r="L18" s="195">
        <v>218503.69</v>
      </c>
      <c r="M18" s="195">
        <v>218503.69</v>
      </c>
      <c r="N18" s="195">
        <v>218503.69</v>
      </c>
      <c r="O18" s="195">
        <v>279058.75</v>
      </c>
      <c r="P18" s="196">
        <f t="shared" si="1"/>
        <v>2687285.53</v>
      </c>
      <c r="Q18" s="238"/>
      <c r="R18" s="198"/>
      <c r="S18" s="244"/>
    </row>
    <row r="19" spans="1:19" x14ac:dyDescent="0.25">
      <c r="A19" s="184">
        <f t="shared" si="2"/>
        <v>16</v>
      </c>
      <c r="B19" s="185" t="s">
        <v>679</v>
      </c>
      <c r="C19" s="194" t="s">
        <v>691</v>
      </c>
      <c r="D19" s="195">
        <v>60942.8</v>
      </c>
      <c r="E19" s="195">
        <v>60942.8</v>
      </c>
      <c r="F19" s="195">
        <v>60942.8</v>
      </c>
      <c r="G19" s="195">
        <v>60942.8</v>
      </c>
      <c r="H19" s="195">
        <v>60942.8</v>
      </c>
      <c r="I19" s="195">
        <v>60942.8</v>
      </c>
      <c r="J19" s="195">
        <v>60942.8</v>
      </c>
      <c r="K19" s="195">
        <v>60942.8</v>
      </c>
      <c r="L19" s="195">
        <v>60942.8</v>
      </c>
      <c r="M19" s="195">
        <v>60942.8</v>
      </c>
      <c r="N19" s="195">
        <v>60942.8</v>
      </c>
      <c r="O19" s="195">
        <v>60942.8</v>
      </c>
      <c r="P19" s="196">
        <f t="shared" si="1"/>
        <v>731313.60000000009</v>
      </c>
      <c r="Q19" s="238"/>
      <c r="R19" s="245"/>
      <c r="S19" s="244"/>
    </row>
    <row r="20" spans="1:19" s="223" customFormat="1" x14ac:dyDescent="0.25">
      <c r="A20" s="218">
        <f t="shared" si="2"/>
        <v>17</v>
      </c>
      <c r="B20" s="219" t="s">
        <v>679</v>
      </c>
      <c r="C20" s="220" t="s">
        <v>692</v>
      </c>
      <c r="D20" s="221">
        <v>0</v>
      </c>
      <c r="E20" s="221">
        <v>0</v>
      </c>
      <c r="F20" s="221">
        <v>0</v>
      </c>
      <c r="G20" s="221">
        <v>0</v>
      </c>
      <c r="H20" s="221">
        <v>0</v>
      </c>
      <c r="I20" s="221"/>
      <c r="J20" s="221"/>
      <c r="K20" s="221"/>
      <c r="L20" s="221">
        <v>1125825</v>
      </c>
      <c r="M20" s="221"/>
      <c r="N20" s="221"/>
      <c r="O20" s="221">
        <v>0</v>
      </c>
      <c r="P20" s="222">
        <f t="shared" si="1"/>
        <v>1125825</v>
      </c>
      <c r="Q20" s="222">
        <f>'[1]Смета расходов Тариф'!D18</f>
        <v>2264.1999999999998</v>
      </c>
      <c r="R20" s="245"/>
      <c r="S20" s="222">
        <f t="shared" ref="S20:S61" si="3">P20/1000-Q20</f>
        <v>-1138.3749999999998</v>
      </c>
    </row>
    <row r="21" spans="1:19" s="223" customFormat="1" x14ac:dyDescent="0.25">
      <c r="A21" s="218">
        <f t="shared" si="2"/>
        <v>18</v>
      </c>
      <c r="B21" s="219" t="s">
        <v>679</v>
      </c>
      <c r="C21" s="220" t="s">
        <v>178</v>
      </c>
      <c r="D21" s="221">
        <f>1271.19</f>
        <v>1271.19</v>
      </c>
      <c r="E21" s="221">
        <v>1271.19</v>
      </c>
      <c r="F21" s="221">
        <v>1271.19</v>
      </c>
      <c r="G21" s="221">
        <v>1271.18</v>
      </c>
      <c r="H21" s="221">
        <v>1271.19</v>
      </c>
      <c r="I21" s="221">
        <v>1271.19</v>
      </c>
      <c r="J21" s="221">
        <f>1271.19+230882+209533+209533</f>
        <v>651219.18999999994</v>
      </c>
      <c r="K21" s="221">
        <f>209533+84156+164928+84156+1271.18+84156+84156+209533+12765+12765+12765</f>
        <v>960184.18</v>
      </c>
      <c r="L21" s="221">
        <f>1271.19+97257.8</f>
        <v>98528.99</v>
      </c>
      <c r="M21" s="221">
        <f>1271.18+76312+84156+12765+84156+12765+84156+12765</f>
        <v>368346.18</v>
      </c>
      <c r="N21" s="221">
        <f>(1271.19+209533+84156+12765+12765+12765+84156+84156+12765+84156+84156+12765+12765+84156+125965.71+83802.7+125965.71+83802.7+125965.71+83802.7+222036.88+75997.34+222036.88+75997.34+83284.79+46349.7+160042.58+83802.7)</f>
        <v>2391183.6300000004</v>
      </c>
      <c r="O21" s="221">
        <f>1271.18+59240+59240+59327+23324+52530+23324+52530+23324+52530+23324+70688.9+70688.9</f>
        <v>571341.98</v>
      </c>
      <c r="P21" s="222">
        <f t="shared" si="1"/>
        <v>5048431.2800000012</v>
      </c>
      <c r="Q21" s="224">
        <f>'[1]Смета расходов Тариф'!D7+'[1]Смета расходов Тариф'!D19</f>
        <v>4245.16</v>
      </c>
      <c r="R21" s="245"/>
      <c r="S21" s="222">
        <f>P21/1000-Q21</f>
        <v>803.27128000000175</v>
      </c>
    </row>
    <row r="22" spans="1:19" x14ac:dyDescent="0.25">
      <c r="A22" s="184">
        <f t="shared" si="2"/>
        <v>19</v>
      </c>
      <c r="B22" s="185" t="s">
        <v>679</v>
      </c>
      <c r="C22" s="194" t="s">
        <v>693</v>
      </c>
      <c r="D22" s="195">
        <v>1091580.5900000001</v>
      </c>
      <c r="E22" s="195">
        <v>411240.84</v>
      </c>
      <c r="F22" s="195">
        <v>741951.42</v>
      </c>
      <c r="G22" s="195">
        <v>1111399.44</v>
      </c>
      <c r="H22" s="195">
        <v>517087.85</v>
      </c>
      <c r="I22" s="195">
        <v>932347.37</v>
      </c>
      <c r="J22" s="195">
        <v>434619.05</v>
      </c>
      <c r="K22" s="195">
        <v>918288.38</v>
      </c>
      <c r="L22" s="195">
        <v>794159.13</v>
      </c>
      <c r="M22" s="195">
        <v>426617.08</v>
      </c>
      <c r="N22" s="195">
        <v>582161.02</v>
      </c>
      <c r="O22" s="197">
        <v>0</v>
      </c>
      <c r="P22" s="196">
        <f t="shared" si="1"/>
        <v>7961452.1699999999</v>
      </c>
      <c r="Q22" s="204">
        <f>'[1]Смета расходов Тариф'!D22</f>
        <v>7749.34</v>
      </c>
      <c r="R22" s="245"/>
      <c r="S22" s="193">
        <f>P22/1000-Q22</f>
        <v>212.11216999999942</v>
      </c>
    </row>
    <row r="23" spans="1:19" x14ac:dyDescent="0.25">
      <c r="A23" s="184">
        <f t="shared" si="2"/>
        <v>20</v>
      </c>
      <c r="B23" s="185" t="s">
        <v>679</v>
      </c>
      <c r="C23" s="194" t="s">
        <v>694</v>
      </c>
      <c r="D23" s="197">
        <v>0</v>
      </c>
      <c r="E23" s="197">
        <v>0</v>
      </c>
      <c r="F23" s="199">
        <v>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>
        <v>0</v>
      </c>
      <c r="O23" s="197">
        <v>0</v>
      </c>
      <c r="P23" s="193">
        <f t="shared" si="1"/>
        <v>0</v>
      </c>
      <c r="Q23" s="204">
        <f>'[1]Смета расходов Тариф'!D13</f>
        <v>0</v>
      </c>
      <c r="R23" s="245"/>
      <c r="S23" s="193">
        <f t="shared" si="3"/>
        <v>0</v>
      </c>
    </row>
    <row r="24" spans="1:19" x14ac:dyDescent="0.25">
      <c r="A24" s="184">
        <f t="shared" si="2"/>
        <v>21</v>
      </c>
      <c r="B24" s="185" t="s">
        <v>679</v>
      </c>
      <c r="C24" s="194" t="s">
        <v>695</v>
      </c>
      <c r="D24" s="199">
        <v>0</v>
      </c>
      <c r="E24" s="197">
        <v>0</v>
      </c>
      <c r="F24" s="199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193">
        <f t="shared" si="1"/>
        <v>0</v>
      </c>
      <c r="Q24" s="215">
        <v>0</v>
      </c>
      <c r="R24" s="206" t="s">
        <v>696</v>
      </c>
      <c r="S24" s="205">
        <f>P24/1000-Q24</f>
        <v>0</v>
      </c>
    </row>
    <row r="25" spans="1:19" x14ac:dyDescent="0.25">
      <c r="A25" s="184">
        <f t="shared" si="2"/>
        <v>22</v>
      </c>
      <c r="B25" s="185" t="s">
        <v>679</v>
      </c>
      <c r="C25" s="194" t="s">
        <v>697</v>
      </c>
      <c r="D25" s="195">
        <v>2349.16</v>
      </c>
      <c r="E25" s="207">
        <f>21875+34231.4</f>
        <v>56106.400000000001</v>
      </c>
      <c r="F25" s="195">
        <v>6432.5</v>
      </c>
      <c r="G25" s="195">
        <v>1041.67</v>
      </c>
      <c r="H25" s="195">
        <f>1790+4923.33</f>
        <v>6713.33</v>
      </c>
      <c r="I25" s="195">
        <v>12176.66</v>
      </c>
      <c r="J25" s="195">
        <v>37374.730000000003</v>
      </c>
      <c r="K25" s="195">
        <f>23577+80195.83+23577+117.34</f>
        <v>127467.17</v>
      </c>
      <c r="L25" s="195">
        <f>117.34+23577+12155.92</f>
        <v>35850.26</v>
      </c>
      <c r="M25" s="195">
        <f>1950+137.5+117.34</f>
        <v>2204.84</v>
      </c>
      <c r="N25" s="195">
        <f>117.34</f>
        <v>117.34</v>
      </c>
      <c r="O25" s="195">
        <f>5107.45+8856.96+117.34</f>
        <v>14081.75</v>
      </c>
      <c r="P25" s="196">
        <f t="shared" si="1"/>
        <v>301915.81000000006</v>
      </c>
      <c r="Q25" s="204">
        <f>'[1]Смета расходов Тариф'!D6</f>
        <v>318.66000000000003</v>
      </c>
      <c r="R25" s="184" t="s">
        <v>680</v>
      </c>
      <c r="S25" s="193">
        <f>P25/1000-Q25</f>
        <v>-16.744189999999946</v>
      </c>
    </row>
    <row r="26" spans="1:19" x14ac:dyDescent="0.25">
      <c r="A26" s="184">
        <f t="shared" si="2"/>
        <v>23</v>
      </c>
      <c r="B26" s="185" t="s">
        <v>679</v>
      </c>
      <c r="C26" s="185" t="s">
        <v>698</v>
      </c>
      <c r="D26" s="197">
        <v>0</v>
      </c>
      <c r="E26" s="197">
        <v>0</v>
      </c>
      <c r="F26" s="195">
        <f>47761+163296</f>
        <v>211057</v>
      </c>
      <c r="G26" s="197">
        <v>0</v>
      </c>
      <c r="H26" s="197">
        <v>0</v>
      </c>
      <c r="I26" s="195">
        <f>47761+161559</f>
        <v>209320</v>
      </c>
      <c r="J26" s="197">
        <v>0</v>
      </c>
      <c r="K26" s="197"/>
      <c r="L26" s="195">
        <f>47761+159460</f>
        <v>207221</v>
      </c>
      <c r="M26" s="197"/>
      <c r="N26" s="197"/>
      <c r="O26" s="195">
        <f>47762+154209</f>
        <v>201971</v>
      </c>
      <c r="P26" s="196">
        <f t="shared" si="1"/>
        <v>829569</v>
      </c>
      <c r="Q26" s="204">
        <f>'[1]Смета расходов Тариф'!D14</f>
        <v>781.05</v>
      </c>
      <c r="R26" s="192" t="s">
        <v>680</v>
      </c>
      <c r="S26" s="193">
        <f>P26/1000-Q26</f>
        <v>48.519000000000005</v>
      </c>
    </row>
    <row r="27" spans="1:19" hidden="1" x14ac:dyDescent="0.25">
      <c r="A27" s="184" t="e">
        <f>#REF!+1</f>
        <v>#REF!</v>
      </c>
      <c r="B27" s="233" t="s">
        <v>699</v>
      </c>
      <c r="C27" s="234"/>
      <c r="D27" s="208">
        <f>SUM(D28:D61)</f>
        <v>0</v>
      </c>
      <c r="E27" s="208">
        <f>SUM(E28:E61)</f>
        <v>0</v>
      </c>
      <c r="F27" s="208">
        <f t="shared" ref="F27:O27" si="4">SUM(F28:F61)</f>
        <v>0</v>
      </c>
      <c r="G27" s="208">
        <f>SUM(G28:G61)</f>
        <v>0</v>
      </c>
      <c r="H27" s="208">
        <f t="shared" si="4"/>
        <v>0</v>
      </c>
      <c r="I27" s="208">
        <f t="shared" si="4"/>
        <v>0</v>
      </c>
      <c r="J27" s="208">
        <f t="shared" si="4"/>
        <v>0</v>
      </c>
      <c r="K27" s="208">
        <f t="shared" si="4"/>
        <v>0</v>
      </c>
      <c r="L27" s="208">
        <f t="shared" si="4"/>
        <v>0</v>
      </c>
      <c r="M27" s="208">
        <f t="shared" si="4"/>
        <v>0</v>
      </c>
      <c r="N27" s="208">
        <f t="shared" si="4"/>
        <v>0</v>
      </c>
      <c r="O27" s="208">
        <f t="shared" si="4"/>
        <v>0</v>
      </c>
      <c r="P27" s="193">
        <f t="shared" ref="P27:P61" si="5">SUM(D27:O27)</f>
        <v>0</v>
      </c>
      <c r="Q27" s="203"/>
      <c r="R27" s="184"/>
      <c r="S27" s="193">
        <f t="shared" si="3"/>
        <v>0</v>
      </c>
    </row>
    <row r="28" spans="1:19" hidden="1" x14ac:dyDescent="0.25">
      <c r="A28" s="184" t="e">
        <f t="shared" si="2"/>
        <v>#REF!</v>
      </c>
      <c r="B28" s="185" t="s">
        <v>700</v>
      </c>
      <c r="C28" s="194" t="s">
        <v>701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3">
        <f t="shared" si="5"/>
        <v>0</v>
      </c>
      <c r="Q28" s="203"/>
      <c r="R28" s="184"/>
      <c r="S28" s="193">
        <f t="shared" si="3"/>
        <v>0</v>
      </c>
    </row>
    <row r="29" spans="1:19" hidden="1" x14ac:dyDescent="0.25">
      <c r="A29" s="184" t="e">
        <f t="shared" si="2"/>
        <v>#REF!</v>
      </c>
      <c r="B29" s="185" t="s">
        <v>700</v>
      </c>
      <c r="C29" s="194" t="s">
        <v>171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3">
        <f t="shared" si="5"/>
        <v>0</v>
      </c>
      <c r="Q29" s="203"/>
      <c r="R29" s="184"/>
      <c r="S29" s="193">
        <f t="shared" si="3"/>
        <v>0</v>
      </c>
    </row>
    <row r="30" spans="1:19" hidden="1" x14ac:dyDescent="0.25">
      <c r="A30" s="184" t="e">
        <f t="shared" si="2"/>
        <v>#REF!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216"/>
      <c r="R30" s="184"/>
      <c r="S30" s="193">
        <f t="shared" si="3"/>
        <v>0</v>
      </c>
    </row>
    <row r="31" spans="1:19" hidden="1" x14ac:dyDescent="0.25">
      <c r="A31" s="184" t="e">
        <f t="shared" si="2"/>
        <v>#REF!</v>
      </c>
      <c r="B31" s="185" t="s">
        <v>700</v>
      </c>
      <c r="C31" s="194" t="s">
        <v>172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3">
        <f t="shared" si="5"/>
        <v>0</v>
      </c>
      <c r="Q31" s="203"/>
      <c r="R31" s="184"/>
      <c r="S31" s="193">
        <f t="shared" si="3"/>
        <v>0</v>
      </c>
    </row>
    <row r="32" spans="1:19" hidden="1" x14ac:dyDescent="0.25">
      <c r="A32" s="184" t="e">
        <f t="shared" si="2"/>
        <v>#REF!</v>
      </c>
      <c r="B32" s="185"/>
      <c r="C32" s="194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3"/>
      <c r="Q32" s="203"/>
      <c r="R32" s="184"/>
      <c r="S32" s="193">
        <f t="shared" si="3"/>
        <v>0</v>
      </c>
    </row>
    <row r="33" spans="1:19" hidden="1" x14ac:dyDescent="0.25">
      <c r="A33" s="184" t="e">
        <f t="shared" si="2"/>
        <v>#REF!</v>
      </c>
      <c r="B33" s="185" t="s">
        <v>700</v>
      </c>
      <c r="C33" s="194" t="s">
        <v>173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3">
        <f t="shared" si="5"/>
        <v>0</v>
      </c>
      <c r="Q33" s="203"/>
      <c r="R33" s="184"/>
      <c r="S33" s="193">
        <f t="shared" si="3"/>
        <v>0</v>
      </c>
    </row>
    <row r="34" spans="1:19" hidden="1" x14ac:dyDescent="0.25">
      <c r="A34" s="184" t="e">
        <f t="shared" si="2"/>
        <v>#REF!</v>
      </c>
      <c r="B34" s="185"/>
      <c r="C34" s="194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3"/>
      <c r="Q34" s="203"/>
      <c r="R34" s="184"/>
      <c r="S34" s="193">
        <f t="shared" si="3"/>
        <v>0</v>
      </c>
    </row>
    <row r="35" spans="1:19" hidden="1" x14ac:dyDescent="0.25">
      <c r="A35" s="184" t="e">
        <f t="shared" si="2"/>
        <v>#REF!</v>
      </c>
      <c r="B35" s="185" t="s">
        <v>700</v>
      </c>
      <c r="C35" s="194" t="s">
        <v>174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3">
        <f t="shared" si="5"/>
        <v>0</v>
      </c>
      <c r="Q35" s="203"/>
      <c r="R35" s="184"/>
      <c r="S35" s="193">
        <f t="shared" si="3"/>
        <v>0</v>
      </c>
    </row>
    <row r="36" spans="1:19" hidden="1" x14ac:dyDescent="0.25">
      <c r="A36" s="184" t="e">
        <f t="shared" si="2"/>
        <v>#REF!</v>
      </c>
      <c r="B36" s="185" t="s">
        <v>700</v>
      </c>
      <c r="C36" s="194" t="s">
        <v>175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3">
        <f t="shared" si="5"/>
        <v>0</v>
      </c>
      <c r="Q36" s="203"/>
      <c r="R36" s="184"/>
      <c r="S36" s="193">
        <f t="shared" si="3"/>
        <v>0</v>
      </c>
    </row>
    <row r="37" spans="1:19" hidden="1" x14ac:dyDescent="0.25">
      <c r="A37" s="184" t="e">
        <f t="shared" si="2"/>
        <v>#REF!</v>
      </c>
      <c r="B37" s="185"/>
      <c r="C37" s="194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3"/>
      <c r="Q37" s="203"/>
      <c r="R37" s="184"/>
      <c r="S37" s="193">
        <f t="shared" si="3"/>
        <v>0</v>
      </c>
    </row>
    <row r="38" spans="1:19" hidden="1" x14ac:dyDescent="0.25">
      <c r="A38" s="184" t="e">
        <f t="shared" si="2"/>
        <v>#REF!</v>
      </c>
      <c r="B38" s="185" t="s">
        <v>700</v>
      </c>
      <c r="C38" s="194" t="s">
        <v>702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3">
        <f t="shared" si="5"/>
        <v>0</v>
      </c>
      <c r="Q38" s="203"/>
      <c r="R38" s="184"/>
      <c r="S38" s="193">
        <f t="shared" si="3"/>
        <v>0</v>
      </c>
    </row>
    <row r="39" spans="1:19" hidden="1" x14ac:dyDescent="0.25">
      <c r="A39" s="184" t="e">
        <f t="shared" si="2"/>
        <v>#REF!</v>
      </c>
      <c r="B39" s="185" t="s">
        <v>700</v>
      </c>
      <c r="C39" s="194" t="s">
        <v>167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3">
        <f t="shared" si="5"/>
        <v>0</v>
      </c>
      <c r="Q39" s="203"/>
      <c r="R39" s="184"/>
      <c r="S39" s="193">
        <f t="shared" si="3"/>
        <v>0</v>
      </c>
    </row>
    <row r="40" spans="1:19" hidden="1" x14ac:dyDescent="0.25">
      <c r="A40" s="184" t="e">
        <f t="shared" si="2"/>
        <v>#REF!</v>
      </c>
      <c r="B40" s="185" t="s">
        <v>700</v>
      </c>
      <c r="C40" s="194" t="s">
        <v>192</v>
      </c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3">
        <f>SUM(D40:O40)</f>
        <v>0</v>
      </c>
      <c r="Q40" s="203"/>
      <c r="R40" s="184"/>
      <c r="S40" s="193">
        <f t="shared" si="3"/>
        <v>0</v>
      </c>
    </row>
    <row r="41" spans="1:19" hidden="1" x14ac:dyDescent="0.25">
      <c r="A41" s="184" t="e">
        <f t="shared" si="2"/>
        <v>#REF!</v>
      </c>
      <c r="B41" s="185" t="s">
        <v>700</v>
      </c>
      <c r="C41" s="194" t="s">
        <v>168</v>
      </c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3">
        <f>SUM(D41:O41)</f>
        <v>0</v>
      </c>
      <c r="Q41" s="204"/>
      <c r="R41" s="184"/>
      <c r="S41" s="193">
        <f t="shared" si="3"/>
        <v>0</v>
      </c>
    </row>
    <row r="42" spans="1:19" hidden="1" x14ac:dyDescent="0.25">
      <c r="A42" s="184" t="e">
        <f t="shared" si="2"/>
        <v>#REF!</v>
      </c>
      <c r="B42" s="185" t="s">
        <v>700</v>
      </c>
      <c r="C42" s="194" t="s">
        <v>703</v>
      </c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3">
        <f>SUM(D42:O42)</f>
        <v>0</v>
      </c>
      <c r="Q42" s="203"/>
      <c r="R42" s="184"/>
      <c r="S42" s="193">
        <f t="shared" si="3"/>
        <v>0</v>
      </c>
    </row>
    <row r="43" spans="1:19" hidden="1" x14ac:dyDescent="0.25">
      <c r="A43" s="184" t="e">
        <f t="shared" si="2"/>
        <v>#REF!</v>
      </c>
      <c r="B43" s="185" t="s">
        <v>700</v>
      </c>
      <c r="C43" s="194" t="s">
        <v>704</v>
      </c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3">
        <f>SUM(D43:O43)</f>
        <v>0</v>
      </c>
      <c r="Q43" s="203"/>
      <c r="R43" s="184"/>
      <c r="S43" s="193">
        <f t="shared" si="3"/>
        <v>0</v>
      </c>
    </row>
    <row r="44" spans="1:19" hidden="1" x14ac:dyDescent="0.25">
      <c r="A44" s="184" t="e">
        <f t="shared" si="2"/>
        <v>#REF!</v>
      </c>
      <c r="B44" s="209" t="s">
        <v>700</v>
      </c>
      <c r="C44" s="194" t="s">
        <v>705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3">
        <f t="shared" si="5"/>
        <v>0</v>
      </c>
      <c r="Q44" s="203"/>
      <c r="R44" s="184"/>
      <c r="S44" s="193">
        <f t="shared" si="3"/>
        <v>0</v>
      </c>
    </row>
    <row r="45" spans="1:19" hidden="1" x14ac:dyDescent="0.25">
      <c r="A45" s="184" t="e">
        <f t="shared" si="2"/>
        <v>#REF!</v>
      </c>
      <c r="B45" s="185"/>
      <c r="C45" s="194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3"/>
      <c r="Q45" s="203"/>
      <c r="R45" s="184"/>
      <c r="S45" s="193">
        <f t="shared" si="3"/>
        <v>0</v>
      </c>
    </row>
    <row r="46" spans="1:19" hidden="1" x14ac:dyDescent="0.25">
      <c r="A46" s="184" t="e">
        <f t="shared" si="2"/>
        <v>#REF!</v>
      </c>
      <c r="B46" s="185"/>
      <c r="C46" s="194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3"/>
      <c r="Q46" s="203"/>
      <c r="R46" s="184"/>
      <c r="S46" s="193">
        <f t="shared" si="3"/>
        <v>0</v>
      </c>
    </row>
    <row r="47" spans="1:19" hidden="1" x14ac:dyDescent="0.25">
      <c r="A47" s="184" t="e">
        <f t="shared" si="2"/>
        <v>#REF!</v>
      </c>
      <c r="B47" s="210"/>
      <c r="C47" s="211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193"/>
      <c r="Q47" s="203"/>
      <c r="R47" s="184"/>
      <c r="S47" s="193">
        <f t="shared" si="3"/>
        <v>0</v>
      </c>
    </row>
    <row r="48" spans="1:19" hidden="1" x14ac:dyDescent="0.25">
      <c r="A48" s="184" t="e">
        <f t="shared" si="2"/>
        <v>#REF!</v>
      </c>
      <c r="B48" s="210"/>
      <c r="C48" s="211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3"/>
      <c r="Q48" s="203"/>
      <c r="R48" s="184"/>
      <c r="S48" s="193">
        <f t="shared" si="3"/>
        <v>0</v>
      </c>
    </row>
    <row r="49" spans="1:19" hidden="1" x14ac:dyDescent="0.25">
      <c r="A49" s="184" t="e">
        <f t="shared" si="2"/>
        <v>#REF!</v>
      </c>
      <c r="B49" s="185" t="s">
        <v>700</v>
      </c>
      <c r="C49" s="194" t="s">
        <v>706</v>
      </c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3">
        <f t="shared" si="5"/>
        <v>0</v>
      </c>
      <c r="Q49" s="203"/>
      <c r="R49" s="184"/>
      <c r="S49" s="193">
        <f t="shared" si="3"/>
        <v>0</v>
      </c>
    </row>
    <row r="50" spans="1:19" hidden="1" x14ac:dyDescent="0.25">
      <c r="A50" s="184" t="e">
        <f t="shared" si="2"/>
        <v>#REF!</v>
      </c>
      <c r="B50" s="185" t="s">
        <v>700</v>
      </c>
      <c r="C50" s="194" t="s">
        <v>707</v>
      </c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3">
        <f t="shared" si="5"/>
        <v>0</v>
      </c>
      <c r="Q50" s="203"/>
      <c r="R50" s="184"/>
      <c r="S50" s="193">
        <f t="shared" si="3"/>
        <v>0</v>
      </c>
    </row>
    <row r="51" spans="1:19" hidden="1" x14ac:dyDescent="0.25">
      <c r="A51" s="184" t="e">
        <f t="shared" si="2"/>
        <v>#REF!</v>
      </c>
      <c r="B51" s="185" t="s">
        <v>700</v>
      </c>
      <c r="C51" s="194" t="s">
        <v>708</v>
      </c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3">
        <f t="shared" si="5"/>
        <v>0</v>
      </c>
      <c r="Q51" s="203"/>
      <c r="R51" s="184"/>
      <c r="S51" s="193">
        <f t="shared" si="3"/>
        <v>0</v>
      </c>
    </row>
    <row r="52" spans="1:19" hidden="1" x14ac:dyDescent="0.25">
      <c r="A52" s="184" t="e">
        <f t="shared" si="2"/>
        <v>#REF!</v>
      </c>
      <c r="B52" s="185"/>
      <c r="C52" s="194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3"/>
      <c r="Q52" s="203"/>
      <c r="R52" s="184"/>
      <c r="S52" s="193">
        <f t="shared" si="3"/>
        <v>0</v>
      </c>
    </row>
    <row r="53" spans="1:19" hidden="1" x14ac:dyDescent="0.25">
      <c r="A53" s="184" t="e">
        <f t="shared" si="2"/>
        <v>#REF!</v>
      </c>
      <c r="B53" s="185" t="s">
        <v>700</v>
      </c>
      <c r="C53" s="194" t="s">
        <v>688</v>
      </c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3">
        <f t="shared" si="5"/>
        <v>0</v>
      </c>
      <c r="Q53" s="203"/>
      <c r="R53" s="184"/>
      <c r="S53" s="193">
        <f t="shared" si="3"/>
        <v>0</v>
      </c>
    </row>
    <row r="54" spans="1:19" hidden="1" x14ac:dyDescent="0.25">
      <c r="A54" s="184" t="e">
        <f t="shared" si="2"/>
        <v>#REF!</v>
      </c>
      <c r="B54" s="185" t="s">
        <v>700</v>
      </c>
      <c r="C54" s="194" t="s">
        <v>709</v>
      </c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3">
        <f>SUM(D54:O54)</f>
        <v>0</v>
      </c>
      <c r="Q54" s="203"/>
      <c r="R54" s="184"/>
      <c r="S54" s="193">
        <f t="shared" si="3"/>
        <v>0</v>
      </c>
    </row>
    <row r="55" spans="1:19" hidden="1" x14ac:dyDescent="0.25">
      <c r="A55" s="184" t="e">
        <f t="shared" si="2"/>
        <v>#REF!</v>
      </c>
      <c r="B55" s="185" t="s">
        <v>700</v>
      </c>
      <c r="C55" s="194" t="s">
        <v>695</v>
      </c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3">
        <f t="shared" si="5"/>
        <v>0</v>
      </c>
      <c r="Q55" s="203"/>
      <c r="R55" s="184"/>
      <c r="S55" s="193">
        <f t="shared" si="3"/>
        <v>0</v>
      </c>
    </row>
    <row r="56" spans="1:19" hidden="1" x14ac:dyDescent="0.25">
      <c r="A56" s="184" t="e">
        <f t="shared" si="2"/>
        <v>#REF!</v>
      </c>
      <c r="B56" s="185" t="s">
        <v>700</v>
      </c>
      <c r="C56" s="194" t="s">
        <v>179</v>
      </c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3">
        <f t="shared" si="5"/>
        <v>0</v>
      </c>
      <c r="Q56" s="203"/>
      <c r="R56" s="184"/>
      <c r="S56" s="193">
        <f t="shared" si="3"/>
        <v>0</v>
      </c>
    </row>
    <row r="57" spans="1:19" hidden="1" x14ac:dyDescent="0.25">
      <c r="A57" s="184" t="e">
        <f t="shared" si="2"/>
        <v>#REF!</v>
      </c>
      <c r="B57" s="185" t="s">
        <v>700</v>
      </c>
      <c r="C57" s="194" t="s">
        <v>196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3">
        <f>SUM(D57:O57)</f>
        <v>0</v>
      </c>
      <c r="Q57" s="203"/>
      <c r="R57" s="184"/>
      <c r="S57" s="193">
        <f t="shared" si="3"/>
        <v>0</v>
      </c>
    </row>
    <row r="58" spans="1:19" hidden="1" x14ac:dyDescent="0.25">
      <c r="A58" s="184" t="e">
        <f t="shared" si="2"/>
        <v>#REF!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216"/>
      <c r="R58" s="184"/>
      <c r="S58" s="193">
        <f t="shared" si="3"/>
        <v>0</v>
      </c>
    </row>
    <row r="59" spans="1:19" hidden="1" x14ac:dyDescent="0.25">
      <c r="A59" s="184" t="e">
        <f t="shared" si="2"/>
        <v>#REF!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216"/>
      <c r="R59" s="184"/>
      <c r="S59" s="193">
        <f t="shared" si="3"/>
        <v>0</v>
      </c>
    </row>
    <row r="60" spans="1:19" hidden="1" x14ac:dyDescent="0.25">
      <c r="A60" s="184" t="e">
        <f t="shared" si="2"/>
        <v>#REF!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216"/>
      <c r="R60" s="184"/>
      <c r="S60" s="193">
        <f t="shared" si="3"/>
        <v>0</v>
      </c>
    </row>
    <row r="61" spans="1:19" hidden="1" x14ac:dyDescent="0.25">
      <c r="A61" s="184" t="e">
        <f t="shared" si="2"/>
        <v>#REF!</v>
      </c>
      <c r="B61" s="185" t="s">
        <v>700</v>
      </c>
      <c r="C61" s="194" t="s">
        <v>184</v>
      </c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3">
        <f t="shared" si="5"/>
        <v>0</v>
      </c>
      <c r="Q61" s="203"/>
      <c r="R61" s="184"/>
      <c r="S61" s="193">
        <f t="shared" si="3"/>
        <v>0</v>
      </c>
    </row>
    <row r="62" spans="1:19" x14ac:dyDescent="0.25">
      <c r="A62" s="184"/>
      <c r="B62" s="185"/>
      <c r="C62" s="213" t="s">
        <v>185</v>
      </c>
      <c r="D62" s="208">
        <f>D27+D3</f>
        <v>2454170.7200000002</v>
      </c>
      <c r="E62" s="208">
        <f>E27+E3</f>
        <v>1800303.3799999997</v>
      </c>
      <c r="F62" s="208">
        <f>F27+F3-F26</f>
        <v>2041707.1399999997</v>
      </c>
      <c r="G62" s="208">
        <f>G27+G3</f>
        <v>2340010.96</v>
      </c>
      <c r="H62" s="208">
        <f>H27+H3</f>
        <v>1655108.2600000002</v>
      </c>
      <c r="I62" s="208">
        <f>I27+I3-I26</f>
        <v>2318353.3400000003</v>
      </c>
      <c r="J62" s="208">
        <f>J27+J3</f>
        <v>2283826.67</v>
      </c>
      <c r="K62" s="208">
        <f>K27+K3</f>
        <v>3102700.3699999996</v>
      </c>
      <c r="L62" s="208">
        <f>L27+L3-L26</f>
        <v>3162792.3499999996</v>
      </c>
      <c r="M62" s="208">
        <f>M27+M3</f>
        <v>1946182.01</v>
      </c>
      <c r="N62" s="208">
        <f>N27+N3</f>
        <v>4237625.07</v>
      </c>
      <c r="O62" s="208">
        <f>O27+O3-O26</f>
        <v>2023448.6099999999</v>
      </c>
      <c r="P62" s="193">
        <f>SUM(D62:O62)</f>
        <v>29366228.879999999</v>
      </c>
      <c r="Q62" s="204">
        <f>SUM(Q4:Q26)</f>
        <v>29261.484999999997</v>
      </c>
      <c r="R62" s="184"/>
      <c r="S62" s="193"/>
    </row>
    <row r="63" spans="1:19" x14ac:dyDescent="0.25">
      <c r="A63" s="184"/>
      <c r="B63" s="184"/>
      <c r="C63" s="184"/>
      <c r="D63" s="192">
        <f>D3-D62</f>
        <v>0</v>
      </c>
      <c r="E63" s="192">
        <f>E3-E62</f>
        <v>0</v>
      </c>
      <c r="F63" s="192">
        <f>F62-F3</f>
        <v>-211057</v>
      </c>
      <c r="G63" s="192">
        <f t="shared" ref="G63:N63" si="6">G62-G3</f>
        <v>0</v>
      </c>
      <c r="H63" s="192">
        <f t="shared" si="6"/>
        <v>0</v>
      </c>
      <c r="I63" s="192">
        <f t="shared" si="6"/>
        <v>-209320</v>
      </c>
      <c r="J63" s="192">
        <f t="shared" si="6"/>
        <v>0</v>
      </c>
      <c r="K63" s="192">
        <f t="shared" si="6"/>
        <v>0</v>
      </c>
      <c r="L63" s="192">
        <f t="shared" si="6"/>
        <v>-207221</v>
      </c>
      <c r="M63" s="192">
        <f t="shared" si="6"/>
        <v>0</v>
      </c>
      <c r="N63" s="192">
        <f t="shared" si="6"/>
        <v>0</v>
      </c>
      <c r="O63" s="192">
        <f>O62-O3</f>
        <v>-201971</v>
      </c>
      <c r="P63" s="192"/>
      <c r="Q63" s="184"/>
      <c r="R63" s="184"/>
      <c r="S63" s="184"/>
    </row>
    <row r="67" spans="24:24" x14ac:dyDescent="0.25">
      <c r="X67">
        <v>191045</v>
      </c>
    </row>
    <row r="68" spans="24:24" x14ac:dyDescent="0.25">
      <c r="X68">
        <v>638524</v>
      </c>
    </row>
  </sheetData>
  <mergeCells count="7">
    <mergeCell ref="B27:C27"/>
    <mergeCell ref="B3:C3"/>
    <mergeCell ref="Q6:Q16"/>
    <mergeCell ref="S6:S16"/>
    <mergeCell ref="Q17:Q19"/>
    <mergeCell ref="S17:S19"/>
    <mergeCell ref="R19:R2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view="pageBreakPreview" topLeftCell="A54" zoomScale="85" zoomScaleNormal="100" zoomScaleSheetLayoutView="85" workbookViewId="0">
      <selection activeCell="D67" sqref="C67:D67"/>
    </sheetView>
  </sheetViews>
  <sheetFormatPr defaultRowHeight="15" x14ac:dyDescent="0.25"/>
  <cols>
    <col min="1" max="1" width="17.140625" style="1" customWidth="1"/>
    <col min="2" max="2" width="71.140625" style="1" customWidth="1"/>
    <col min="3" max="3" width="24" style="1" customWidth="1"/>
    <col min="4" max="4" width="23" style="6" customWidth="1"/>
    <col min="5" max="5" width="14.28515625" style="6" customWidth="1"/>
    <col min="6" max="6" width="9.7109375" style="1" bestFit="1" customWidth="1"/>
    <col min="7" max="7" width="13.85546875" style="1" bestFit="1" customWidth="1"/>
    <col min="8" max="8" width="10.5703125" style="1" bestFit="1" customWidth="1"/>
    <col min="9" max="9" width="9" style="1" bestFit="1" customWidth="1"/>
    <col min="10" max="10" width="11" style="1" bestFit="1" customWidth="1"/>
    <col min="11" max="11" width="10" style="1" bestFit="1" customWidth="1"/>
    <col min="12" max="16384" width="9.140625" style="1"/>
  </cols>
  <sheetData>
    <row r="1" spans="1:10" ht="114" customHeight="1" x14ac:dyDescent="0.25">
      <c r="A1" s="226" t="s">
        <v>140</v>
      </c>
      <c r="B1" s="227"/>
      <c r="C1" s="227"/>
      <c r="D1" s="227"/>
      <c r="E1" s="45"/>
      <c r="F1" s="46"/>
      <c r="G1" s="46"/>
    </row>
    <row r="2" spans="1:10" ht="15.75" x14ac:dyDescent="0.25">
      <c r="A2" s="228" t="s">
        <v>17</v>
      </c>
      <c r="B2" s="228"/>
      <c r="C2" s="228"/>
      <c r="D2" s="228"/>
      <c r="E2" s="46"/>
      <c r="F2" s="46"/>
      <c r="G2" s="46"/>
    </row>
    <row r="3" spans="1:10" ht="15.75" x14ac:dyDescent="0.25">
      <c r="A3" s="228" t="s">
        <v>148</v>
      </c>
      <c r="B3" s="228"/>
      <c r="C3" s="228"/>
      <c r="D3" s="228"/>
      <c r="E3" s="46"/>
      <c r="F3" s="46"/>
      <c r="G3" s="46"/>
    </row>
    <row r="4" spans="1:10" ht="15.75" x14ac:dyDescent="0.25">
      <c r="A4" s="228" t="s">
        <v>668</v>
      </c>
      <c r="B4" s="228"/>
      <c r="C4" s="228"/>
      <c r="D4" s="228"/>
      <c r="E4" s="46"/>
      <c r="F4" s="46"/>
      <c r="G4" s="46"/>
    </row>
    <row r="5" spans="1:10" ht="15.75" x14ac:dyDescent="0.25">
      <c r="A5" s="47"/>
      <c r="B5" s="46"/>
      <c r="C5" s="46"/>
      <c r="D5" s="46"/>
      <c r="E5" s="46"/>
      <c r="F5" s="46"/>
      <c r="G5" s="46"/>
    </row>
    <row r="6" spans="1:10" ht="15.75" x14ac:dyDescent="0.25">
      <c r="A6" s="225" t="s">
        <v>18</v>
      </c>
      <c r="B6" s="225"/>
      <c r="C6" s="225"/>
      <c r="D6" s="225"/>
      <c r="E6" s="47"/>
      <c r="F6" s="38"/>
      <c r="G6" s="38"/>
    </row>
    <row r="7" spans="1:10" ht="15.75" x14ac:dyDescent="0.25">
      <c r="A7" s="225" t="s">
        <v>19</v>
      </c>
      <c r="B7" s="225"/>
      <c r="C7" s="225"/>
      <c r="D7" s="225"/>
      <c r="E7" s="47"/>
      <c r="F7" s="38"/>
      <c r="G7" s="38"/>
    </row>
    <row r="8" spans="1:10" ht="15.75" x14ac:dyDescent="0.25">
      <c r="A8" s="228" t="s">
        <v>20</v>
      </c>
      <c r="B8" s="228"/>
      <c r="C8" s="228"/>
      <c r="D8" s="228"/>
      <c r="E8" s="46"/>
      <c r="F8" s="4"/>
      <c r="G8" s="4"/>
    </row>
    <row r="9" spans="1:10" ht="15.75" x14ac:dyDescent="0.25">
      <c r="A9" s="37"/>
      <c r="B9" s="37"/>
      <c r="C9" s="37"/>
      <c r="D9" s="37"/>
      <c r="E9" s="37"/>
      <c r="F9" s="37"/>
      <c r="G9" s="37"/>
      <c r="J9" s="45"/>
    </row>
    <row r="10" spans="1:10" ht="47.25" x14ac:dyDescent="0.25">
      <c r="A10" s="23" t="s">
        <v>21</v>
      </c>
      <c r="B10" s="23" t="s">
        <v>22</v>
      </c>
      <c r="C10" s="23" t="s">
        <v>23</v>
      </c>
      <c r="D10" s="23" t="s">
        <v>75</v>
      </c>
      <c r="E10" s="183" t="s">
        <v>382</v>
      </c>
    </row>
    <row r="11" spans="1:10" ht="15.75" x14ac:dyDescent="0.25">
      <c r="A11" s="23">
        <v>1</v>
      </c>
      <c r="B11" s="23">
        <v>2</v>
      </c>
      <c r="C11" s="23">
        <v>3</v>
      </c>
      <c r="D11" s="23">
        <v>4</v>
      </c>
      <c r="E11" s="23"/>
    </row>
    <row r="12" spans="1:10" ht="15.75" x14ac:dyDescent="0.25">
      <c r="A12" s="17">
        <v>1</v>
      </c>
      <c r="B12" s="18" t="s">
        <v>24</v>
      </c>
      <c r="C12" s="26">
        <f>C14+C16+C18+C33</f>
        <v>13847.16</v>
      </c>
      <c r="D12" s="26">
        <f>D13+D18+D33</f>
        <v>5225.3231560000004</v>
      </c>
      <c r="E12" s="26">
        <f>C12-D12</f>
        <v>8621.8368439999995</v>
      </c>
      <c r="G12" s="7"/>
    </row>
    <row r="13" spans="1:10" ht="15.75" x14ac:dyDescent="0.25">
      <c r="A13" s="17" t="s">
        <v>25</v>
      </c>
      <c r="B13" s="18" t="s">
        <v>26</v>
      </c>
      <c r="C13" s="42">
        <f>C14+C16</f>
        <v>5063.17</v>
      </c>
      <c r="D13" s="42">
        <f>D14+D16</f>
        <v>724.77256000000011</v>
      </c>
      <c r="E13" s="26">
        <f t="shared" ref="E13:E76" si="0">C13-D13</f>
        <v>4338.3974399999997</v>
      </c>
    </row>
    <row r="14" spans="1:10" ht="16.5" thickBot="1" x14ac:dyDescent="0.3">
      <c r="A14" s="19" t="s">
        <v>27</v>
      </c>
      <c r="B14" s="16" t="s">
        <v>28</v>
      </c>
      <c r="C14" s="27">
        <v>318.66000000000003</v>
      </c>
      <c r="D14" s="41">
        <f>F14/1000/10*6</f>
        <v>181.77256000000006</v>
      </c>
      <c r="E14" s="26">
        <f t="shared" si="0"/>
        <v>136.88743999999997</v>
      </c>
      <c r="F14" s="70">
        <v>302954.26666666672</v>
      </c>
    </row>
    <row r="15" spans="1:10" ht="15.75" x14ac:dyDescent="0.25">
      <c r="A15" s="19"/>
      <c r="B15" s="16" t="s">
        <v>29</v>
      </c>
      <c r="C15" s="27"/>
      <c r="D15" s="28"/>
      <c r="E15" s="26"/>
    </row>
    <row r="16" spans="1:10" ht="15.75" x14ac:dyDescent="0.25">
      <c r="A16" s="19" t="s">
        <v>30</v>
      </c>
      <c r="B16" s="16" t="s">
        <v>31</v>
      </c>
      <c r="C16" s="27">
        <v>4744.51</v>
      </c>
      <c r="D16" s="40">
        <v>543</v>
      </c>
      <c r="E16" s="26">
        <f t="shared" si="0"/>
        <v>4201.51</v>
      </c>
    </row>
    <row r="17" spans="1:10" ht="15.75" x14ac:dyDescent="0.25">
      <c r="A17" s="19"/>
      <c r="B17" s="16" t="s">
        <v>29</v>
      </c>
      <c r="C17" s="27"/>
      <c r="D17" s="29"/>
      <c r="E17" s="26"/>
    </row>
    <row r="18" spans="1:10" ht="15.75" x14ac:dyDescent="0.25">
      <c r="A18" s="19" t="s">
        <v>32</v>
      </c>
      <c r="B18" s="16" t="s">
        <v>33</v>
      </c>
      <c r="C18" s="27">
        <v>8378.3799999999992</v>
      </c>
      <c r="D18" s="30">
        <f>'П-4'!B3+'П-4'!B4+'П-4'!B5+'П-4'!B6+'П-4'!B7+'П-4'!B8</f>
        <v>4330.6000000000004</v>
      </c>
      <c r="E18" s="26">
        <f t="shared" si="0"/>
        <v>4047.7799999999988</v>
      </c>
      <c r="G18" s="11"/>
      <c r="I18" s="8"/>
      <c r="J18" s="12"/>
    </row>
    <row r="19" spans="1:10" ht="15.75" x14ac:dyDescent="0.25">
      <c r="A19" s="19"/>
      <c r="B19" s="16" t="s">
        <v>29</v>
      </c>
      <c r="C19" s="27"/>
      <c r="D19" s="31"/>
      <c r="E19" s="26"/>
    </row>
    <row r="20" spans="1:10" ht="15.75" hidden="1" x14ac:dyDescent="0.25">
      <c r="A20" s="230" t="s">
        <v>130</v>
      </c>
      <c r="B20" s="231"/>
      <c r="C20" s="32"/>
      <c r="D20" s="33"/>
      <c r="E20" s="26">
        <f t="shared" si="0"/>
        <v>0</v>
      </c>
    </row>
    <row r="21" spans="1:10" ht="15.75" hidden="1" x14ac:dyDescent="0.25">
      <c r="A21" s="24">
        <v>1</v>
      </c>
      <c r="B21" s="25" t="s">
        <v>131</v>
      </c>
      <c r="C21" s="39"/>
      <c r="D21" s="34"/>
      <c r="E21" s="26">
        <f t="shared" si="0"/>
        <v>0</v>
      </c>
    </row>
    <row r="22" spans="1:10" ht="15.75" hidden="1" x14ac:dyDescent="0.25">
      <c r="A22" s="24">
        <v>2</v>
      </c>
      <c r="B22" s="25" t="s">
        <v>132</v>
      </c>
      <c r="C22" s="39"/>
      <c r="D22" s="34"/>
      <c r="E22" s="26">
        <f t="shared" si="0"/>
        <v>0</v>
      </c>
    </row>
    <row r="23" spans="1:10" ht="15.75" hidden="1" x14ac:dyDescent="0.25">
      <c r="A23" s="24">
        <v>3</v>
      </c>
      <c r="B23" s="25" t="s">
        <v>133</v>
      </c>
      <c r="C23" s="39"/>
      <c r="D23" s="34"/>
      <c r="E23" s="26">
        <f t="shared" si="0"/>
        <v>0</v>
      </c>
    </row>
    <row r="24" spans="1:10" ht="15.75" hidden="1" x14ac:dyDescent="0.25">
      <c r="A24" s="24">
        <v>4</v>
      </c>
      <c r="B24" s="25" t="s">
        <v>134</v>
      </c>
      <c r="C24" s="34"/>
      <c r="D24" s="35"/>
      <c r="E24" s="26">
        <f t="shared" si="0"/>
        <v>0</v>
      </c>
    </row>
    <row r="25" spans="1:10" ht="15.75" hidden="1" x14ac:dyDescent="0.25">
      <c r="A25" s="24">
        <v>5</v>
      </c>
      <c r="B25" s="25" t="s">
        <v>135</v>
      </c>
      <c r="C25" s="34"/>
      <c r="D25" s="35"/>
      <c r="E25" s="26">
        <f t="shared" si="0"/>
        <v>0</v>
      </c>
    </row>
    <row r="26" spans="1:10" ht="15.75" hidden="1" x14ac:dyDescent="0.25">
      <c r="A26" s="24">
        <v>6</v>
      </c>
      <c r="B26" s="25" t="s">
        <v>136</v>
      </c>
      <c r="C26" s="34"/>
      <c r="D26" s="35"/>
      <c r="E26" s="26">
        <f t="shared" si="0"/>
        <v>0</v>
      </c>
    </row>
    <row r="27" spans="1:10" ht="15.75" hidden="1" x14ac:dyDescent="0.25">
      <c r="A27" s="24">
        <v>7</v>
      </c>
      <c r="B27" s="25" t="s">
        <v>0</v>
      </c>
      <c r="C27" s="34"/>
      <c r="D27" s="35"/>
      <c r="E27" s="26">
        <f t="shared" si="0"/>
        <v>0</v>
      </c>
    </row>
    <row r="28" spans="1:10" ht="15.75" hidden="1" x14ac:dyDescent="0.25">
      <c r="A28" s="24">
        <v>8</v>
      </c>
      <c r="B28" s="25" t="s">
        <v>1</v>
      </c>
      <c r="C28" s="34"/>
      <c r="D28" s="35"/>
      <c r="E28" s="26">
        <f t="shared" si="0"/>
        <v>0</v>
      </c>
    </row>
    <row r="29" spans="1:10" ht="15.75" hidden="1" x14ac:dyDescent="0.25">
      <c r="A29" s="24">
        <v>9</v>
      </c>
      <c r="B29" s="25" t="s">
        <v>2</v>
      </c>
      <c r="C29" s="34"/>
      <c r="D29" s="35"/>
      <c r="E29" s="26">
        <f t="shared" si="0"/>
        <v>0</v>
      </c>
    </row>
    <row r="30" spans="1:10" ht="15.75" hidden="1" x14ac:dyDescent="0.25">
      <c r="A30" s="24">
        <v>10</v>
      </c>
      <c r="B30" s="25" t="s">
        <v>137</v>
      </c>
      <c r="C30" s="34"/>
      <c r="D30" s="35"/>
      <c r="E30" s="26">
        <f t="shared" si="0"/>
        <v>0</v>
      </c>
    </row>
    <row r="31" spans="1:10" ht="15.75" hidden="1" x14ac:dyDescent="0.25">
      <c r="A31" s="24">
        <v>11</v>
      </c>
      <c r="B31" s="25" t="s">
        <v>138</v>
      </c>
      <c r="C31" s="34"/>
      <c r="D31" s="35"/>
      <c r="E31" s="26">
        <f t="shared" si="0"/>
        <v>0</v>
      </c>
    </row>
    <row r="32" spans="1:10" ht="15.75" hidden="1" x14ac:dyDescent="0.25">
      <c r="A32" s="24">
        <v>12</v>
      </c>
      <c r="B32" s="25" t="s">
        <v>139</v>
      </c>
      <c r="C32" s="32"/>
      <c r="D32" s="35"/>
      <c r="E32" s="26">
        <f t="shared" si="0"/>
        <v>0</v>
      </c>
    </row>
    <row r="33" spans="1:5" ht="15.75" x14ac:dyDescent="0.25">
      <c r="A33" s="19" t="s">
        <v>34</v>
      </c>
      <c r="B33" s="16" t="s">
        <v>35</v>
      </c>
      <c r="C33" s="27">
        <v>405.61</v>
      </c>
      <c r="D33" s="26">
        <f>D34+D35+D36+D37+D38+D39+D40+D41+D42+D43+D44+D45+D46+D47+D48+D49+D50+D51+D52+D53+D54+D55+D56+D57</f>
        <v>169.95059599999999</v>
      </c>
      <c r="E33" s="26">
        <f t="shared" si="0"/>
        <v>235.65940400000002</v>
      </c>
    </row>
    <row r="34" spans="1:5" ht="31.5" x14ac:dyDescent="0.25">
      <c r="A34" s="21" t="s">
        <v>76</v>
      </c>
      <c r="B34" s="16" t="s">
        <v>36</v>
      </c>
      <c r="C34" s="27"/>
      <c r="D34" s="36"/>
      <c r="E34" s="26"/>
    </row>
    <row r="35" spans="1:5" ht="15.75" x14ac:dyDescent="0.25">
      <c r="A35" s="21" t="s">
        <v>77</v>
      </c>
      <c r="B35" s="20" t="s">
        <v>37</v>
      </c>
      <c r="C35" s="27"/>
      <c r="D35" s="40">
        <f>('60'!H22+'60'!H37+'60'!H50)/1000</f>
        <v>49.833829999999999</v>
      </c>
      <c r="E35" s="26"/>
    </row>
    <row r="36" spans="1:5" ht="15.75" x14ac:dyDescent="0.25">
      <c r="A36" s="21" t="s">
        <v>78</v>
      </c>
      <c r="B36" s="20" t="s">
        <v>3</v>
      </c>
      <c r="C36" s="27"/>
      <c r="D36" s="40"/>
      <c r="E36" s="26"/>
    </row>
    <row r="37" spans="1:5" ht="15.75" x14ac:dyDescent="0.25">
      <c r="A37" s="21" t="s">
        <v>79</v>
      </c>
      <c r="B37" s="20" t="s">
        <v>4</v>
      </c>
      <c r="C37" s="27"/>
      <c r="D37" s="40"/>
      <c r="E37" s="26"/>
    </row>
    <row r="38" spans="1:5" ht="15.75" x14ac:dyDescent="0.25">
      <c r="A38" s="21" t="s">
        <v>80</v>
      </c>
      <c r="B38" s="20" t="s">
        <v>5</v>
      </c>
      <c r="C38" s="27"/>
      <c r="D38" s="40">
        <f>'60'!H24/1000</f>
        <v>5.0199999999999996</v>
      </c>
      <c r="E38" s="26"/>
    </row>
    <row r="39" spans="1:5" ht="15.75" x14ac:dyDescent="0.25">
      <c r="A39" s="21" t="s">
        <v>81</v>
      </c>
      <c r="B39" s="20" t="s">
        <v>38</v>
      </c>
      <c r="C39" s="27"/>
      <c r="D39" s="40"/>
      <c r="E39" s="26"/>
    </row>
    <row r="40" spans="1:5" ht="15.75" x14ac:dyDescent="0.25">
      <c r="A40" s="21" t="s">
        <v>82</v>
      </c>
      <c r="B40" s="16" t="s">
        <v>7</v>
      </c>
      <c r="C40" s="27"/>
      <c r="D40" s="40">
        <f>'60'!H14/1000</f>
        <v>49.5</v>
      </c>
      <c r="E40" s="26"/>
    </row>
    <row r="41" spans="1:5" ht="15.75" x14ac:dyDescent="0.25">
      <c r="A41" s="21" t="s">
        <v>83</v>
      </c>
      <c r="B41" s="16" t="s">
        <v>8</v>
      </c>
      <c r="C41" s="27"/>
      <c r="D41" s="40"/>
      <c r="E41" s="26"/>
    </row>
    <row r="42" spans="1:5" ht="31.5" x14ac:dyDescent="0.25">
      <c r="A42" s="21" t="s">
        <v>84</v>
      </c>
      <c r="B42" s="16" t="s">
        <v>9</v>
      </c>
      <c r="C42" s="27"/>
      <c r="D42" s="40"/>
      <c r="E42" s="26"/>
    </row>
    <row r="43" spans="1:5" ht="15.75" x14ac:dyDescent="0.25">
      <c r="A43" s="21" t="s">
        <v>85</v>
      </c>
      <c r="B43" s="16" t="s">
        <v>39</v>
      </c>
      <c r="C43" s="27"/>
      <c r="D43" s="40"/>
      <c r="E43" s="26"/>
    </row>
    <row r="44" spans="1:5" ht="15.75" x14ac:dyDescent="0.25">
      <c r="A44" s="21" t="s">
        <v>86</v>
      </c>
      <c r="B44" s="16" t="s">
        <v>40</v>
      </c>
      <c r="C44" s="27"/>
      <c r="D44" s="29"/>
      <c r="E44" s="26"/>
    </row>
    <row r="45" spans="1:5" ht="15.75" x14ac:dyDescent="0.25">
      <c r="A45" s="21" t="s">
        <v>87</v>
      </c>
      <c r="B45" s="20" t="s">
        <v>41</v>
      </c>
      <c r="C45" s="27"/>
      <c r="D45" s="29"/>
      <c r="E45" s="26"/>
    </row>
    <row r="46" spans="1:5" ht="15.75" x14ac:dyDescent="0.25">
      <c r="A46" s="21" t="s">
        <v>88</v>
      </c>
      <c r="B46" s="16" t="s">
        <v>42</v>
      </c>
      <c r="C46" s="27"/>
      <c r="D46" s="29"/>
      <c r="E46" s="26"/>
    </row>
    <row r="47" spans="1:5" ht="15.75" x14ac:dyDescent="0.25">
      <c r="A47" s="21" t="s">
        <v>89</v>
      </c>
      <c r="B47" s="16" t="s">
        <v>43</v>
      </c>
      <c r="C47" s="27"/>
      <c r="D47" s="29"/>
      <c r="E47" s="26"/>
    </row>
    <row r="48" spans="1:5" ht="15.75" x14ac:dyDescent="0.25">
      <c r="A48" s="21" t="s">
        <v>90</v>
      </c>
      <c r="B48" s="20" t="s">
        <v>44</v>
      </c>
      <c r="C48" s="27"/>
      <c r="D48" s="29"/>
      <c r="E48" s="26"/>
    </row>
    <row r="49" spans="1:7" ht="15.75" x14ac:dyDescent="0.25">
      <c r="A49" s="21" t="s">
        <v>91</v>
      </c>
      <c r="B49" s="20" t="s">
        <v>45</v>
      </c>
      <c r="C49" s="27"/>
      <c r="D49" s="29"/>
      <c r="E49" s="26"/>
    </row>
    <row r="50" spans="1:7" ht="15.75" x14ac:dyDescent="0.25">
      <c r="A50" s="21" t="s">
        <v>91</v>
      </c>
      <c r="B50" s="20" t="s">
        <v>46</v>
      </c>
      <c r="C50" s="27"/>
      <c r="D50" s="29"/>
      <c r="E50" s="26"/>
    </row>
    <row r="51" spans="1:7" ht="15.75" x14ac:dyDescent="0.25">
      <c r="A51" s="21" t="s">
        <v>92</v>
      </c>
      <c r="B51" s="20" t="s">
        <v>47</v>
      </c>
      <c r="C51" s="27"/>
      <c r="D51" s="29"/>
      <c r="E51" s="26"/>
    </row>
    <row r="52" spans="1:7" ht="15.75" x14ac:dyDescent="0.25">
      <c r="A52" s="21" t="s">
        <v>93</v>
      </c>
      <c r="B52" s="16" t="s">
        <v>48</v>
      </c>
      <c r="C52" s="27"/>
      <c r="D52" s="28"/>
      <c r="E52" s="26"/>
    </row>
    <row r="53" spans="1:7" ht="15.75" x14ac:dyDescent="0.25">
      <c r="A53" s="21" t="s">
        <v>94</v>
      </c>
      <c r="B53" s="16" t="s">
        <v>10</v>
      </c>
      <c r="C53" s="27"/>
      <c r="D53" s="29"/>
      <c r="E53" s="26"/>
    </row>
    <row r="54" spans="1:7" ht="15.75" x14ac:dyDescent="0.25">
      <c r="A54" s="21" t="s">
        <v>95</v>
      </c>
      <c r="B54" s="16" t="s">
        <v>6</v>
      </c>
      <c r="C54" s="27"/>
      <c r="D54" s="40">
        <f>('60'!H18+'60'!H36)/1000/10*6</f>
        <v>47.205365999999998</v>
      </c>
      <c r="E54" s="26"/>
    </row>
    <row r="55" spans="1:7" ht="15.75" x14ac:dyDescent="0.25">
      <c r="A55" s="21" t="s">
        <v>96</v>
      </c>
      <c r="B55" s="16" t="s">
        <v>11</v>
      </c>
      <c r="C55" s="27"/>
      <c r="D55" s="29"/>
      <c r="E55" s="26"/>
    </row>
    <row r="56" spans="1:7" ht="15.75" x14ac:dyDescent="0.25">
      <c r="A56" s="21" t="s">
        <v>97</v>
      </c>
      <c r="B56" s="16" t="s">
        <v>49</v>
      </c>
      <c r="C56" s="27"/>
      <c r="D56" s="29"/>
      <c r="E56" s="26"/>
    </row>
    <row r="57" spans="1:7" ht="15.75" x14ac:dyDescent="0.25">
      <c r="A57" s="21" t="s">
        <v>98</v>
      </c>
      <c r="B57" s="16" t="s">
        <v>12</v>
      </c>
      <c r="C57" s="27"/>
      <c r="D57" s="29">
        <f>('60'!H23+'60'!H55)/1000</f>
        <v>18.391400000000001</v>
      </c>
      <c r="E57" s="26"/>
    </row>
    <row r="58" spans="1:7" ht="15.75" x14ac:dyDescent="0.25">
      <c r="A58" s="21" t="s">
        <v>664</v>
      </c>
      <c r="B58" s="16" t="str">
        <f>'60'!N25</f>
        <v>Охрана, пожарная безопасность</v>
      </c>
      <c r="C58" s="27"/>
      <c r="D58" s="29">
        <f>'60'!H25/1000</f>
        <v>15</v>
      </c>
      <c r="E58" s="26"/>
    </row>
    <row r="59" spans="1:7" ht="15.75" x14ac:dyDescent="0.25">
      <c r="A59" s="21" t="s">
        <v>665</v>
      </c>
      <c r="B59" s="16" t="str">
        <f>'60'!N26</f>
        <v>Программное обеспечение</v>
      </c>
      <c r="C59" s="27"/>
      <c r="D59" s="29"/>
      <c r="E59" s="26"/>
    </row>
    <row r="60" spans="1:7" ht="15.75" x14ac:dyDescent="0.25">
      <c r="A60" s="21" t="s">
        <v>666</v>
      </c>
      <c r="B60" s="16" t="str">
        <f>'60'!N60</f>
        <v>регистратор ООО</v>
      </c>
      <c r="C60" s="27"/>
      <c r="D60" s="29">
        <f>'60'!H60/1000</f>
        <v>32.6</v>
      </c>
      <c r="E60" s="26"/>
    </row>
    <row r="61" spans="1:7" ht="15.75" x14ac:dyDescent="0.25">
      <c r="A61" s="22" t="s">
        <v>99</v>
      </c>
      <c r="B61" s="18" t="s">
        <v>50</v>
      </c>
      <c r="C61" s="26">
        <f>C63+C70+C76+C78+C79</f>
        <v>10025.700000000001</v>
      </c>
      <c r="D61" s="26">
        <f>D62+D63+D70+D71+D72+D75+D76+D78+D101</f>
        <v>5725.5221380000003</v>
      </c>
      <c r="E61" s="26">
        <f t="shared" si="0"/>
        <v>4300.1778620000005</v>
      </c>
      <c r="G61" s="10"/>
    </row>
    <row r="62" spans="1:7" ht="15.75" x14ac:dyDescent="0.25">
      <c r="A62" s="21" t="s">
        <v>100</v>
      </c>
      <c r="B62" s="16" t="s">
        <v>13</v>
      </c>
      <c r="C62" s="27"/>
      <c r="D62" s="36"/>
      <c r="E62" s="26"/>
    </row>
    <row r="63" spans="1:7" ht="15.75" x14ac:dyDescent="0.25">
      <c r="A63" s="21" t="s">
        <v>101</v>
      </c>
      <c r="B63" s="16" t="s">
        <v>51</v>
      </c>
      <c r="C63" s="27">
        <v>781.05</v>
      </c>
      <c r="D63" s="27">
        <f>D64+D65+D66+D67</f>
        <v>433.87199999999996</v>
      </c>
      <c r="E63" s="26">
        <f t="shared" si="0"/>
        <v>347.178</v>
      </c>
    </row>
    <row r="64" spans="1:7" ht="15.75" x14ac:dyDescent="0.25">
      <c r="A64" s="21" t="s">
        <v>102</v>
      </c>
      <c r="B64" s="16" t="s">
        <v>52</v>
      </c>
      <c r="C64" s="27"/>
      <c r="D64" s="27"/>
      <c r="E64" s="26"/>
    </row>
    <row r="65" spans="1:9" ht="15.75" x14ac:dyDescent="0.25">
      <c r="A65" s="21" t="s">
        <v>103</v>
      </c>
      <c r="B65" s="16" t="s">
        <v>14</v>
      </c>
      <c r="C65" s="27"/>
      <c r="D65" s="27">
        <f>'91'!N22/1000/10*6</f>
        <v>290.589</v>
      </c>
      <c r="E65" s="26"/>
    </row>
    <row r="66" spans="1:9" ht="15.75" x14ac:dyDescent="0.25">
      <c r="A66" s="21" t="s">
        <v>104</v>
      </c>
      <c r="B66" s="16" t="s">
        <v>53</v>
      </c>
      <c r="C66" s="27"/>
      <c r="D66" s="27"/>
      <c r="E66" s="26"/>
    </row>
    <row r="67" spans="1:9" ht="15.75" x14ac:dyDescent="0.25">
      <c r="A67" s="21" t="s">
        <v>145</v>
      </c>
      <c r="B67" s="20" t="s">
        <v>15</v>
      </c>
      <c r="C67" s="27"/>
      <c r="D67" s="27">
        <f>'91'!N19/1000</f>
        <v>143.28299999999999</v>
      </c>
      <c r="E67" s="26"/>
    </row>
    <row r="68" spans="1:9" ht="15.75" x14ac:dyDescent="0.25">
      <c r="A68" s="21"/>
      <c r="C68" s="27"/>
      <c r="D68" s="27"/>
      <c r="E68" s="26"/>
    </row>
    <row r="69" spans="1:9" ht="15.75" x14ac:dyDescent="0.25">
      <c r="A69" s="21" t="s">
        <v>146</v>
      </c>
      <c r="B69" s="20" t="s">
        <v>54</v>
      </c>
      <c r="C69" s="27"/>
      <c r="D69" s="27"/>
      <c r="E69" s="26"/>
    </row>
    <row r="70" spans="1:9" ht="15.75" x14ac:dyDescent="0.25">
      <c r="A70" s="21" t="s">
        <v>105</v>
      </c>
      <c r="B70" s="16" t="s">
        <v>55</v>
      </c>
      <c r="C70" s="27">
        <v>2268.31</v>
      </c>
      <c r="D70" s="27">
        <f>'20'!N20/1000/10*6</f>
        <v>1714.157334</v>
      </c>
      <c r="E70" s="26">
        <f t="shared" si="0"/>
        <v>554.15266599999995</v>
      </c>
    </row>
    <row r="71" spans="1:9" ht="31.5" x14ac:dyDescent="0.25">
      <c r="A71" s="21" t="s">
        <v>106</v>
      </c>
      <c r="B71" s="16" t="s">
        <v>56</v>
      </c>
      <c r="C71" s="27"/>
      <c r="D71" s="27"/>
      <c r="E71" s="26"/>
    </row>
    <row r="72" spans="1:9" ht="31.5" x14ac:dyDescent="0.25">
      <c r="A72" s="21" t="s">
        <v>107</v>
      </c>
      <c r="B72" s="16" t="s">
        <v>57</v>
      </c>
      <c r="C72" s="27"/>
      <c r="D72" s="27">
        <f>D73+D74</f>
        <v>0</v>
      </c>
      <c r="E72" s="26"/>
    </row>
    <row r="73" spans="1:9" ht="15.75" x14ac:dyDescent="0.25">
      <c r="A73" s="21" t="s">
        <v>108</v>
      </c>
      <c r="B73" s="16" t="s">
        <v>58</v>
      </c>
      <c r="C73" s="27"/>
      <c r="D73" s="36"/>
      <c r="E73" s="26"/>
    </row>
    <row r="74" spans="1:9" ht="15.75" x14ac:dyDescent="0.25">
      <c r="A74" s="21" t="s">
        <v>109</v>
      </c>
      <c r="B74" s="16" t="s">
        <v>59</v>
      </c>
      <c r="C74" s="27"/>
      <c r="D74" s="36"/>
      <c r="E74" s="26"/>
    </row>
    <row r="75" spans="1:9" ht="15.75" x14ac:dyDescent="0.25">
      <c r="A75" s="21" t="s">
        <v>110</v>
      </c>
      <c r="B75" s="16" t="s">
        <v>60</v>
      </c>
      <c r="C75" s="27"/>
      <c r="D75" s="43">
        <f>'60'!H58/1000/10*6</f>
        <v>128.39489400000002</v>
      </c>
      <c r="E75" s="26">
        <f t="shared" si="0"/>
        <v>-128.39489400000002</v>
      </c>
    </row>
    <row r="76" spans="1:9" ht="15.75" x14ac:dyDescent="0.25">
      <c r="A76" s="21" t="s">
        <v>111</v>
      </c>
      <c r="B76" s="16" t="s">
        <v>61</v>
      </c>
      <c r="C76" s="27">
        <v>2563.79</v>
      </c>
      <c r="D76" s="27">
        <f>D18*0.31</f>
        <v>1342.4860000000001</v>
      </c>
      <c r="E76" s="26">
        <f t="shared" si="0"/>
        <v>1221.3039999999999</v>
      </c>
      <c r="G76" s="13"/>
      <c r="I76" s="12"/>
    </row>
    <row r="77" spans="1:9" ht="15.75" x14ac:dyDescent="0.25">
      <c r="A77" s="21"/>
      <c r="B77" s="16" t="s">
        <v>29</v>
      </c>
      <c r="C77" s="27"/>
      <c r="D77" s="36"/>
      <c r="E77" s="26"/>
      <c r="G77" s="9"/>
      <c r="H77" s="9"/>
    </row>
    <row r="78" spans="1:9" ht="15.75" x14ac:dyDescent="0.25">
      <c r="A78" s="21" t="s">
        <v>112</v>
      </c>
      <c r="B78" s="16" t="s">
        <v>62</v>
      </c>
      <c r="C78" s="27">
        <v>2148.35</v>
      </c>
      <c r="D78" s="36">
        <f>('91'!N28+'91'!N31+'91'!N32)/1000+2000</f>
        <v>2106.6119100000001</v>
      </c>
      <c r="E78" s="26">
        <f t="shared" ref="E78:E101" si="1">C78-D78</f>
        <v>41.738089999999829</v>
      </c>
    </row>
    <row r="79" spans="1:9" ht="15.75" x14ac:dyDescent="0.25">
      <c r="A79" s="21" t="s">
        <v>144</v>
      </c>
      <c r="B79" s="16" t="s">
        <v>147</v>
      </c>
      <c r="C79" s="27">
        <v>2264.1999999999998</v>
      </c>
      <c r="D79" s="36"/>
      <c r="E79" s="26">
        <f t="shared" si="1"/>
        <v>2264.1999999999998</v>
      </c>
    </row>
    <row r="80" spans="1:9" ht="31.5" x14ac:dyDescent="0.25">
      <c r="A80" s="21" t="s">
        <v>113</v>
      </c>
      <c r="B80" s="16" t="s">
        <v>119</v>
      </c>
      <c r="C80" s="27">
        <v>-760.01</v>
      </c>
      <c r="D80" s="27">
        <f>D81+D82</f>
        <v>0</v>
      </c>
      <c r="E80" s="26">
        <f t="shared" si="1"/>
        <v>-760.01</v>
      </c>
    </row>
    <row r="81" spans="1:11" ht="78.75" hidden="1" x14ac:dyDescent="0.25">
      <c r="A81" s="21" t="s">
        <v>120</v>
      </c>
      <c r="B81" s="16" t="s">
        <v>121</v>
      </c>
      <c r="C81" s="27"/>
      <c r="D81" s="36"/>
      <c r="E81" s="26">
        <f t="shared" si="1"/>
        <v>0</v>
      </c>
    </row>
    <row r="82" spans="1:11" ht="31.5" hidden="1" x14ac:dyDescent="0.25">
      <c r="A82" s="21" t="s">
        <v>122</v>
      </c>
      <c r="B82" s="16" t="s">
        <v>123</v>
      </c>
      <c r="C82" s="27"/>
      <c r="D82" s="36"/>
      <c r="E82" s="26">
        <f t="shared" si="1"/>
        <v>0</v>
      </c>
    </row>
    <row r="83" spans="1:11" ht="31.5" hidden="1" x14ac:dyDescent="0.25">
      <c r="A83" s="21" t="s">
        <v>125</v>
      </c>
      <c r="B83" s="16" t="s">
        <v>126</v>
      </c>
      <c r="C83" s="27"/>
      <c r="D83" s="36"/>
      <c r="E83" s="26">
        <f t="shared" si="1"/>
        <v>0</v>
      </c>
    </row>
    <row r="84" spans="1:11" ht="31.5" x14ac:dyDescent="0.25">
      <c r="A84" s="21" t="s">
        <v>124</v>
      </c>
      <c r="B84" s="16" t="s">
        <v>127</v>
      </c>
      <c r="C84" s="27">
        <v>287.95</v>
      </c>
      <c r="D84" s="36"/>
      <c r="E84" s="26">
        <f t="shared" si="1"/>
        <v>287.95</v>
      </c>
      <c r="G84" s="7"/>
    </row>
    <row r="85" spans="1:11" ht="15.75" x14ac:dyDescent="0.25">
      <c r="A85" s="21" t="s">
        <v>114</v>
      </c>
      <c r="B85" s="16" t="s">
        <v>128</v>
      </c>
      <c r="C85" s="26">
        <f>C12+C61+C84+C80</f>
        <v>23400.800000000003</v>
      </c>
      <c r="D85" s="26">
        <f>D12+D61+D80+D84</f>
        <v>10950.845294000001</v>
      </c>
      <c r="E85" s="26">
        <f t="shared" si="1"/>
        <v>12449.954706000002</v>
      </c>
      <c r="G85" s="7"/>
      <c r="I85" s="8">
        <f>C61</f>
        <v>10025.700000000001</v>
      </c>
      <c r="J85" s="7"/>
      <c r="K85" s="7"/>
    </row>
    <row r="86" spans="1:11" ht="31.5" x14ac:dyDescent="0.25">
      <c r="A86" s="21" t="s">
        <v>115</v>
      </c>
      <c r="B86" s="16" t="s">
        <v>64</v>
      </c>
      <c r="C86" s="27">
        <v>5600.99</v>
      </c>
      <c r="D86" s="27">
        <f>(ТНС!D2+ТНС!D3+ТНС!D4+ТНС!D5+ТНС!D6+ТНС!D7-2000000)/1000</f>
        <v>2805.6075099999998</v>
      </c>
      <c r="E86" s="26">
        <f t="shared" si="1"/>
        <v>2795.38249</v>
      </c>
      <c r="G86" s="7"/>
      <c r="I86" s="1">
        <v>10024.69</v>
      </c>
      <c r="J86" s="7"/>
      <c r="K86" s="7"/>
    </row>
    <row r="87" spans="1:11" ht="15.75" hidden="1" x14ac:dyDescent="0.25">
      <c r="A87" s="230" t="s">
        <v>142</v>
      </c>
      <c r="B87" s="231"/>
      <c r="C87" s="27"/>
      <c r="D87" s="36"/>
      <c r="E87" s="26">
        <f t="shared" si="1"/>
        <v>0</v>
      </c>
      <c r="G87" s="7"/>
      <c r="J87" s="7"/>
      <c r="K87" s="7"/>
    </row>
    <row r="88" spans="1:11" ht="15.75" hidden="1" x14ac:dyDescent="0.25">
      <c r="A88" s="24">
        <v>1</v>
      </c>
      <c r="B88" s="25" t="s">
        <v>131</v>
      </c>
      <c r="C88" s="27"/>
      <c r="D88" s="27"/>
      <c r="E88" s="26">
        <f t="shared" si="1"/>
        <v>0</v>
      </c>
      <c r="G88" s="7"/>
      <c r="J88" s="7"/>
      <c r="K88" s="7"/>
    </row>
    <row r="89" spans="1:11" ht="15.75" hidden="1" x14ac:dyDescent="0.25">
      <c r="A89" s="24">
        <v>2</v>
      </c>
      <c r="B89" s="25" t="s">
        <v>141</v>
      </c>
      <c r="C89" s="27"/>
      <c r="D89" s="27"/>
      <c r="E89" s="26">
        <f t="shared" si="1"/>
        <v>0</v>
      </c>
      <c r="G89" s="7"/>
      <c r="J89" s="7"/>
      <c r="K89" s="7"/>
    </row>
    <row r="90" spans="1:11" ht="15.75" hidden="1" x14ac:dyDescent="0.25">
      <c r="A90" s="24">
        <v>3</v>
      </c>
      <c r="B90" s="25" t="s">
        <v>143</v>
      </c>
      <c r="C90" s="27"/>
      <c r="D90" s="27"/>
      <c r="E90" s="26">
        <f t="shared" si="1"/>
        <v>0</v>
      </c>
      <c r="G90" s="7"/>
      <c r="J90" s="7"/>
      <c r="K90" s="7"/>
    </row>
    <row r="91" spans="1:11" ht="15.75" hidden="1" x14ac:dyDescent="0.25">
      <c r="A91" s="24">
        <v>4</v>
      </c>
      <c r="B91" s="25" t="s">
        <v>134</v>
      </c>
      <c r="C91" s="27"/>
      <c r="D91" s="36"/>
      <c r="E91" s="26">
        <f t="shared" si="1"/>
        <v>0</v>
      </c>
      <c r="G91" s="7"/>
      <c r="J91" s="7"/>
      <c r="K91" s="7"/>
    </row>
    <row r="92" spans="1:11" ht="15.75" hidden="1" x14ac:dyDescent="0.25">
      <c r="A92" s="24">
        <v>5</v>
      </c>
      <c r="B92" s="25" t="s">
        <v>135</v>
      </c>
      <c r="C92" s="27"/>
      <c r="D92" s="36"/>
      <c r="E92" s="26">
        <f t="shared" si="1"/>
        <v>0</v>
      </c>
      <c r="G92" s="7"/>
      <c r="J92" s="7"/>
      <c r="K92" s="7"/>
    </row>
    <row r="93" spans="1:11" ht="15.75" hidden="1" x14ac:dyDescent="0.25">
      <c r="A93" s="24">
        <v>6</v>
      </c>
      <c r="B93" s="25" t="s">
        <v>136</v>
      </c>
      <c r="C93" s="27"/>
      <c r="D93" s="36"/>
      <c r="E93" s="26">
        <f t="shared" si="1"/>
        <v>0</v>
      </c>
      <c r="G93" s="7"/>
      <c r="J93" s="7"/>
      <c r="K93" s="7"/>
    </row>
    <row r="94" spans="1:11" ht="15.75" hidden="1" x14ac:dyDescent="0.25">
      <c r="A94" s="24">
        <v>7</v>
      </c>
      <c r="B94" s="25" t="s">
        <v>0</v>
      </c>
      <c r="C94" s="27"/>
      <c r="D94" s="36"/>
      <c r="E94" s="26">
        <f t="shared" si="1"/>
        <v>0</v>
      </c>
      <c r="G94" s="7"/>
      <c r="J94" s="7"/>
      <c r="K94" s="7"/>
    </row>
    <row r="95" spans="1:11" ht="15.75" hidden="1" x14ac:dyDescent="0.25">
      <c r="A95" s="24">
        <v>8</v>
      </c>
      <c r="B95" s="25" t="s">
        <v>1</v>
      </c>
      <c r="C95" s="27"/>
      <c r="D95" s="36"/>
      <c r="E95" s="26">
        <f t="shared" si="1"/>
        <v>0</v>
      </c>
      <c r="G95" s="7"/>
      <c r="J95" s="7"/>
      <c r="K95" s="7"/>
    </row>
    <row r="96" spans="1:11" ht="15.75" hidden="1" x14ac:dyDescent="0.25">
      <c r="A96" s="24">
        <v>9</v>
      </c>
      <c r="B96" s="25" t="s">
        <v>2</v>
      </c>
      <c r="C96" s="27"/>
      <c r="D96" s="36"/>
      <c r="E96" s="26">
        <f t="shared" si="1"/>
        <v>0</v>
      </c>
      <c r="G96" s="7"/>
      <c r="J96" s="7"/>
      <c r="K96" s="7"/>
    </row>
    <row r="97" spans="1:11" ht="15.75" hidden="1" x14ac:dyDescent="0.25">
      <c r="A97" s="24">
        <v>10</v>
      </c>
      <c r="B97" s="25" t="s">
        <v>137</v>
      </c>
      <c r="C97" s="27"/>
      <c r="D97" s="36"/>
      <c r="E97" s="26">
        <f t="shared" si="1"/>
        <v>0</v>
      </c>
      <c r="G97" s="7"/>
      <c r="J97" s="7"/>
      <c r="K97" s="7"/>
    </row>
    <row r="98" spans="1:11" ht="15.75" hidden="1" x14ac:dyDescent="0.25">
      <c r="A98" s="24">
        <v>11</v>
      </c>
      <c r="B98" s="25" t="s">
        <v>138</v>
      </c>
      <c r="C98" s="27"/>
      <c r="D98" s="36"/>
      <c r="E98" s="26">
        <f t="shared" si="1"/>
        <v>0</v>
      </c>
      <c r="G98" s="7"/>
      <c r="J98" s="7"/>
      <c r="K98" s="7"/>
    </row>
    <row r="99" spans="1:11" ht="15.75" hidden="1" x14ac:dyDescent="0.25">
      <c r="A99" s="24">
        <v>12</v>
      </c>
      <c r="B99" s="25" t="s">
        <v>139</v>
      </c>
      <c r="C99" s="27"/>
      <c r="D99" s="36"/>
      <c r="E99" s="26">
        <f t="shared" si="1"/>
        <v>0</v>
      </c>
      <c r="G99" s="7"/>
      <c r="J99" s="7"/>
      <c r="K99" s="7"/>
    </row>
    <row r="100" spans="1:11" ht="15.75" x14ac:dyDescent="0.25">
      <c r="A100" s="21" t="s">
        <v>116</v>
      </c>
      <c r="B100" s="16" t="s">
        <v>63</v>
      </c>
      <c r="C100" s="27">
        <f>C86+C85</f>
        <v>29001.79</v>
      </c>
      <c r="D100" s="27">
        <f>D85+D86</f>
        <v>13756.452804</v>
      </c>
      <c r="E100" s="26">
        <f t="shared" si="1"/>
        <v>15245.337196</v>
      </c>
      <c r="G100" s="7"/>
      <c r="I100" s="8">
        <f>I85-I86</f>
        <v>1.0100000000002183</v>
      </c>
      <c r="J100" s="7"/>
      <c r="K100" s="7"/>
    </row>
    <row r="101" spans="1:11" ht="15.75" x14ac:dyDescent="0.25">
      <c r="A101" s="21" t="s">
        <v>129</v>
      </c>
      <c r="B101" s="16" t="s">
        <v>16</v>
      </c>
      <c r="C101" s="27">
        <f>C79</f>
        <v>2264.1999999999998</v>
      </c>
      <c r="D101" s="36">
        <f>D79</f>
        <v>0</v>
      </c>
      <c r="E101" s="26">
        <f t="shared" si="1"/>
        <v>2264.1999999999998</v>
      </c>
      <c r="G101" s="7">
        <f>3971912/1000</f>
        <v>3971.9119999999998</v>
      </c>
      <c r="I101" s="8">
        <v>23399.8</v>
      </c>
      <c r="J101" s="8"/>
      <c r="K101" s="8"/>
    </row>
    <row r="102" spans="1:11" ht="15.75" x14ac:dyDescent="0.25">
      <c r="A102" s="229" t="s">
        <v>65</v>
      </c>
      <c r="B102" s="229"/>
      <c r="I102" s="8">
        <f>I101-C85</f>
        <v>-1.000000000003638</v>
      </c>
    </row>
    <row r="103" spans="1:11" ht="15.75" x14ac:dyDescent="0.25">
      <c r="A103" s="232" t="s">
        <v>66</v>
      </c>
      <c r="B103" s="232"/>
      <c r="C103" s="232"/>
      <c r="D103" s="232"/>
      <c r="E103" s="44"/>
    </row>
    <row r="104" spans="1:11" ht="15.75" x14ac:dyDescent="0.25">
      <c r="A104" s="3"/>
    </row>
    <row r="105" spans="1:11" ht="15.75" x14ac:dyDescent="0.25">
      <c r="A105" s="4" t="s">
        <v>67</v>
      </c>
    </row>
    <row r="106" spans="1:11" x14ac:dyDescent="0.25">
      <c r="A106" s="5" t="s">
        <v>68</v>
      </c>
      <c r="E106" s="148"/>
    </row>
    <row r="107" spans="1:11" ht="15.75" x14ac:dyDescent="0.25">
      <c r="A107" s="4" t="s">
        <v>69</v>
      </c>
      <c r="E107" s="149"/>
    </row>
    <row r="108" spans="1:11" ht="15.75" x14ac:dyDescent="0.25">
      <c r="A108" s="4" t="s">
        <v>118</v>
      </c>
      <c r="E108" s="150"/>
    </row>
    <row r="109" spans="1:11" x14ac:dyDescent="0.25">
      <c r="A109" s="5" t="s">
        <v>70</v>
      </c>
      <c r="E109" s="150"/>
    </row>
    <row r="110" spans="1:11" ht="15.75" x14ac:dyDescent="0.25">
      <c r="A110" s="4" t="s">
        <v>71</v>
      </c>
    </row>
    <row r="111" spans="1:11" ht="15.75" x14ac:dyDescent="0.25">
      <c r="A111" s="4"/>
    </row>
    <row r="112" spans="1:11" ht="15.75" x14ac:dyDescent="0.25">
      <c r="A112" s="4" t="s">
        <v>117</v>
      </c>
    </row>
    <row r="113" spans="1:3" x14ac:dyDescent="0.25">
      <c r="A113" s="5" t="s">
        <v>72</v>
      </c>
    </row>
    <row r="114" spans="1:3" ht="15.75" x14ac:dyDescent="0.25">
      <c r="A114" s="4" t="s">
        <v>73</v>
      </c>
    </row>
    <row r="115" spans="1:3" ht="15.75" x14ac:dyDescent="0.25">
      <c r="A115" s="4" t="s">
        <v>74</v>
      </c>
    </row>
    <row r="118" spans="1:3" x14ac:dyDescent="0.25">
      <c r="C118" s="8">
        <f>C85-23399.8</f>
        <v>1.000000000003638</v>
      </c>
    </row>
    <row r="119" spans="1:3" x14ac:dyDescent="0.25">
      <c r="C119" s="8">
        <f>C85-C101</f>
        <v>21136.600000000002</v>
      </c>
    </row>
    <row r="121" spans="1:3" x14ac:dyDescent="0.25">
      <c r="C121" s="8"/>
    </row>
  </sheetData>
  <mergeCells count="11">
    <mergeCell ref="A7:D7"/>
    <mergeCell ref="A1:D1"/>
    <mergeCell ref="A2:D2"/>
    <mergeCell ref="A3:D3"/>
    <mergeCell ref="A4:D4"/>
    <mergeCell ref="A6:D6"/>
    <mergeCell ref="A8:D8"/>
    <mergeCell ref="A20:B20"/>
    <mergeCell ref="A87:B87"/>
    <mergeCell ref="A102:B102"/>
    <mergeCell ref="A103:D103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view="pageBreakPreview" topLeftCell="A4" zoomScale="85" zoomScaleNormal="100" zoomScaleSheetLayoutView="85" workbookViewId="0">
      <selection activeCell="F35" sqref="F35"/>
    </sheetView>
  </sheetViews>
  <sheetFormatPr defaultRowHeight="15" x14ac:dyDescent="0.25"/>
  <cols>
    <col min="1" max="1" width="17.140625" style="1" customWidth="1"/>
    <col min="2" max="2" width="71.140625" style="1" customWidth="1"/>
    <col min="3" max="3" width="24" style="1" customWidth="1"/>
    <col min="4" max="4" width="23" style="6" customWidth="1"/>
    <col min="5" max="5" width="14.28515625" style="6" customWidth="1"/>
    <col min="6" max="6" width="9.7109375" style="1" bestFit="1" customWidth="1"/>
    <col min="7" max="7" width="13.85546875" style="1" bestFit="1" customWidth="1"/>
    <col min="8" max="8" width="10.5703125" style="1" bestFit="1" customWidth="1"/>
    <col min="9" max="9" width="9" style="1" bestFit="1" customWidth="1"/>
    <col min="10" max="10" width="11" style="1" bestFit="1" customWidth="1"/>
    <col min="11" max="11" width="10" style="1" bestFit="1" customWidth="1"/>
    <col min="12" max="16384" width="9.140625" style="1"/>
  </cols>
  <sheetData>
    <row r="1" spans="1:10" ht="114" customHeight="1" x14ac:dyDescent="0.25">
      <c r="A1" s="226" t="s">
        <v>140</v>
      </c>
      <c r="B1" s="227"/>
      <c r="C1" s="227"/>
      <c r="D1" s="227"/>
      <c r="E1" s="45"/>
      <c r="F1" s="15"/>
      <c r="G1" s="15"/>
    </row>
    <row r="2" spans="1:10" ht="15.75" x14ac:dyDescent="0.25">
      <c r="A2" s="228" t="s">
        <v>17</v>
      </c>
      <c r="B2" s="228"/>
      <c r="C2" s="228"/>
      <c r="D2" s="228"/>
      <c r="E2" s="46"/>
      <c r="F2" s="15"/>
      <c r="G2" s="15"/>
    </row>
    <row r="3" spans="1:10" ht="15.75" x14ac:dyDescent="0.25">
      <c r="A3" s="228" t="s">
        <v>148</v>
      </c>
      <c r="B3" s="228"/>
      <c r="C3" s="228"/>
      <c r="D3" s="228"/>
      <c r="E3" s="46"/>
      <c r="F3" s="15"/>
      <c r="G3" s="15"/>
    </row>
    <row r="4" spans="1:10" ht="15.75" x14ac:dyDescent="0.25">
      <c r="A4" s="228" t="s">
        <v>667</v>
      </c>
      <c r="B4" s="228"/>
      <c r="C4" s="228"/>
      <c r="D4" s="228"/>
      <c r="E4" s="46"/>
      <c r="F4" s="15"/>
      <c r="G4" s="15"/>
    </row>
    <row r="5" spans="1:10" ht="15.75" x14ac:dyDescent="0.25">
      <c r="A5" s="14"/>
      <c r="B5" s="15"/>
      <c r="C5" s="15"/>
      <c r="D5" s="15"/>
      <c r="E5" s="46"/>
      <c r="F5" s="15"/>
      <c r="G5" s="15"/>
    </row>
    <row r="6" spans="1:10" ht="15.75" x14ac:dyDescent="0.25">
      <c r="A6" s="225" t="s">
        <v>18</v>
      </c>
      <c r="B6" s="225"/>
      <c r="C6" s="225"/>
      <c r="D6" s="225"/>
      <c r="E6" s="47"/>
      <c r="F6" s="38"/>
      <c r="G6" s="38"/>
    </row>
    <row r="7" spans="1:10" ht="15.75" x14ac:dyDescent="0.25">
      <c r="A7" s="225" t="s">
        <v>19</v>
      </c>
      <c r="B7" s="225"/>
      <c r="C7" s="225"/>
      <c r="D7" s="225"/>
      <c r="E7" s="47"/>
      <c r="F7" s="38"/>
      <c r="G7" s="38"/>
    </row>
    <row r="8" spans="1:10" ht="15.75" x14ac:dyDescent="0.25">
      <c r="A8" s="228" t="s">
        <v>20</v>
      </c>
      <c r="B8" s="228"/>
      <c r="C8" s="228"/>
      <c r="D8" s="228"/>
      <c r="E8" s="46"/>
      <c r="F8" s="4"/>
      <c r="G8" s="4"/>
    </row>
    <row r="9" spans="1:10" ht="15.75" x14ac:dyDescent="0.25">
      <c r="A9" s="37"/>
      <c r="B9" s="37"/>
      <c r="C9" s="37"/>
      <c r="D9" s="37"/>
      <c r="E9" s="37"/>
      <c r="F9" s="37"/>
      <c r="G9" s="37"/>
      <c r="J9" s="2"/>
    </row>
    <row r="10" spans="1:10" ht="47.25" x14ac:dyDescent="0.25">
      <c r="A10" s="23" t="s">
        <v>21</v>
      </c>
      <c r="B10" s="23" t="s">
        <v>22</v>
      </c>
      <c r="C10" s="23" t="s">
        <v>23</v>
      </c>
      <c r="D10" s="23" t="s">
        <v>75</v>
      </c>
      <c r="E10" s="183" t="s">
        <v>382</v>
      </c>
    </row>
    <row r="11" spans="1:10" ht="15.75" x14ac:dyDescent="0.25">
      <c r="A11" s="23">
        <v>1</v>
      </c>
      <c r="B11" s="23">
        <v>2</v>
      </c>
      <c r="C11" s="23">
        <v>3</v>
      </c>
      <c r="D11" s="23">
        <v>4</v>
      </c>
      <c r="E11" s="23"/>
    </row>
    <row r="12" spans="1:10" ht="15.75" x14ac:dyDescent="0.25">
      <c r="A12" s="17">
        <v>1</v>
      </c>
      <c r="B12" s="18" t="s">
        <v>24</v>
      </c>
      <c r="C12" s="26">
        <f>C14+C16+C18+C33</f>
        <v>13847.16</v>
      </c>
      <c r="D12" s="26">
        <f>D13+D18+D33</f>
        <v>13283.852346666667</v>
      </c>
      <c r="E12" s="26">
        <f>C12-D12</f>
        <v>563.30765333333329</v>
      </c>
      <c r="G12" s="7"/>
    </row>
    <row r="13" spans="1:10" ht="15.75" x14ac:dyDescent="0.25">
      <c r="A13" s="17" t="s">
        <v>25</v>
      </c>
      <c r="B13" s="18" t="s">
        <v>26</v>
      </c>
      <c r="C13" s="42">
        <f>C14+C16</f>
        <v>5063.17</v>
      </c>
      <c r="D13" s="42">
        <f>D14+D16</f>
        <v>5194.7527066666671</v>
      </c>
      <c r="E13" s="26">
        <f t="shared" ref="E13:E79" si="0">C13-D13</f>
        <v>-131.58270666666704</v>
      </c>
    </row>
    <row r="14" spans="1:10" ht="16.5" thickBot="1" x14ac:dyDescent="0.3">
      <c r="A14" s="19" t="s">
        <v>27</v>
      </c>
      <c r="B14" s="16" t="s">
        <v>28</v>
      </c>
      <c r="C14" s="27">
        <v>318.66000000000003</v>
      </c>
      <c r="D14" s="41">
        <f>F14/1000</f>
        <v>302.95426666666674</v>
      </c>
      <c r="E14" s="26">
        <f t="shared" si="0"/>
        <v>15.705733333333285</v>
      </c>
      <c r="F14" s="70">
        <v>302954.26666666672</v>
      </c>
    </row>
    <row r="15" spans="1:10" ht="15.75" x14ac:dyDescent="0.25">
      <c r="A15" s="19"/>
      <c r="B15" s="16" t="s">
        <v>29</v>
      </c>
      <c r="C15" s="27"/>
      <c r="D15" s="28"/>
      <c r="E15" s="26"/>
    </row>
    <row r="16" spans="1:10" ht="15.75" x14ac:dyDescent="0.25">
      <c r="A16" s="19" t="s">
        <v>30</v>
      </c>
      <c r="B16" s="16" t="s">
        <v>31</v>
      </c>
      <c r="C16" s="27">
        <v>4744.51</v>
      </c>
      <c r="D16" s="40">
        <f>4891798.44/1000</f>
        <v>4891.7984400000005</v>
      </c>
      <c r="E16" s="26">
        <f t="shared" si="0"/>
        <v>-147.28844000000026</v>
      </c>
    </row>
    <row r="17" spans="1:10" ht="15.75" x14ac:dyDescent="0.25">
      <c r="A17" s="19"/>
      <c r="B17" s="16" t="s">
        <v>29</v>
      </c>
      <c r="C17" s="27"/>
      <c r="D17" s="29"/>
      <c r="E17" s="26"/>
    </row>
    <row r="18" spans="1:10" ht="15.75" x14ac:dyDescent="0.25">
      <c r="A18" s="19" t="s">
        <v>32</v>
      </c>
      <c r="B18" s="16" t="s">
        <v>33</v>
      </c>
      <c r="C18" s="27">
        <v>8378.3799999999992</v>
      </c>
      <c r="D18" s="30">
        <f>'П-4'!B17</f>
        <v>7097.8</v>
      </c>
      <c r="E18" s="26">
        <f t="shared" si="0"/>
        <v>1280.579999999999</v>
      </c>
      <c r="G18" s="11"/>
      <c r="I18" s="8"/>
      <c r="J18" s="12"/>
    </row>
    <row r="19" spans="1:10" ht="15.75" x14ac:dyDescent="0.25">
      <c r="A19" s="19"/>
      <c r="B19" s="16" t="s">
        <v>29</v>
      </c>
      <c r="C19" s="27"/>
      <c r="D19" s="31"/>
      <c r="E19" s="26"/>
    </row>
    <row r="20" spans="1:10" ht="15.75" hidden="1" x14ac:dyDescent="0.25">
      <c r="A20" s="230" t="s">
        <v>130</v>
      </c>
      <c r="B20" s="231"/>
      <c r="C20" s="32"/>
      <c r="D20" s="33"/>
      <c r="E20" s="26">
        <f t="shared" si="0"/>
        <v>0</v>
      </c>
    </row>
    <row r="21" spans="1:10" ht="15.75" hidden="1" x14ac:dyDescent="0.25">
      <c r="A21" s="24">
        <v>1</v>
      </c>
      <c r="B21" s="25" t="s">
        <v>131</v>
      </c>
      <c r="C21" s="39"/>
      <c r="D21" s="34"/>
      <c r="E21" s="26">
        <f t="shared" si="0"/>
        <v>0</v>
      </c>
    </row>
    <row r="22" spans="1:10" ht="15.75" hidden="1" x14ac:dyDescent="0.25">
      <c r="A22" s="24">
        <v>2</v>
      </c>
      <c r="B22" s="25" t="s">
        <v>132</v>
      </c>
      <c r="C22" s="39"/>
      <c r="D22" s="34"/>
      <c r="E22" s="26">
        <f t="shared" si="0"/>
        <v>0</v>
      </c>
    </row>
    <row r="23" spans="1:10" ht="15.75" hidden="1" x14ac:dyDescent="0.25">
      <c r="A23" s="24">
        <v>3</v>
      </c>
      <c r="B23" s="25" t="s">
        <v>133</v>
      </c>
      <c r="C23" s="39"/>
      <c r="D23" s="34"/>
      <c r="E23" s="26">
        <f t="shared" si="0"/>
        <v>0</v>
      </c>
    </row>
    <row r="24" spans="1:10" ht="15.75" hidden="1" x14ac:dyDescent="0.25">
      <c r="A24" s="24">
        <v>4</v>
      </c>
      <c r="B24" s="25" t="s">
        <v>134</v>
      </c>
      <c r="C24" s="34"/>
      <c r="D24" s="35"/>
      <c r="E24" s="26">
        <f t="shared" si="0"/>
        <v>0</v>
      </c>
    </row>
    <row r="25" spans="1:10" ht="15.75" hidden="1" x14ac:dyDescent="0.25">
      <c r="A25" s="24">
        <v>5</v>
      </c>
      <c r="B25" s="25" t="s">
        <v>135</v>
      </c>
      <c r="C25" s="34"/>
      <c r="D25" s="35"/>
      <c r="E25" s="26">
        <f t="shared" si="0"/>
        <v>0</v>
      </c>
    </row>
    <row r="26" spans="1:10" ht="15.75" hidden="1" x14ac:dyDescent="0.25">
      <c r="A26" s="24">
        <v>6</v>
      </c>
      <c r="B26" s="25" t="s">
        <v>136</v>
      </c>
      <c r="C26" s="34"/>
      <c r="D26" s="35"/>
      <c r="E26" s="26">
        <f t="shared" si="0"/>
        <v>0</v>
      </c>
    </row>
    <row r="27" spans="1:10" ht="15.75" hidden="1" x14ac:dyDescent="0.25">
      <c r="A27" s="24">
        <v>7</v>
      </c>
      <c r="B27" s="25" t="s">
        <v>0</v>
      </c>
      <c r="C27" s="34"/>
      <c r="D27" s="35"/>
      <c r="E27" s="26">
        <f t="shared" si="0"/>
        <v>0</v>
      </c>
    </row>
    <row r="28" spans="1:10" ht="15.75" hidden="1" x14ac:dyDescent="0.25">
      <c r="A28" s="24">
        <v>8</v>
      </c>
      <c r="B28" s="25" t="s">
        <v>1</v>
      </c>
      <c r="C28" s="34"/>
      <c r="D28" s="35"/>
      <c r="E28" s="26">
        <f t="shared" si="0"/>
        <v>0</v>
      </c>
    </row>
    <row r="29" spans="1:10" ht="15.75" hidden="1" x14ac:dyDescent="0.25">
      <c r="A29" s="24">
        <v>9</v>
      </c>
      <c r="B29" s="25" t="s">
        <v>2</v>
      </c>
      <c r="C29" s="34"/>
      <c r="D29" s="35"/>
      <c r="E29" s="26">
        <f t="shared" si="0"/>
        <v>0</v>
      </c>
    </row>
    <row r="30" spans="1:10" ht="15.75" hidden="1" x14ac:dyDescent="0.25">
      <c r="A30" s="24">
        <v>10</v>
      </c>
      <c r="B30" s="25" t="s">
        <v>137</v>
      </c>
      <c r="C30" s="34"/>
      <c r="D30" s="35"/>
      <c r="E30" s="26">
        <f t="shared" si="0"/>
        <v>0</v>
      </c>
    </row>
    <row r="31" spans="1:10" ht="15.75" hidden="1" x14ac:dyDescent="0.25">
      <c r="A31" s="24">
        <v>11</v>
      </c>
      <c r="B31" s="25" t="s">
        <v>138</v>
      </c>
      <c r="C31" s="34"/>
      <c r="D31" s="35"/>
      <c r="E31" s="26">
        <f t="shared" si="0"/>
        <v>0</v>
      </c>
    </row>
    <row r="32" spans="1:10" ht="15.75" hidden="1" x14ac:dyDescent="0.25">
      <c r="A32" s="24">
        <v>12</v>
      </c>
      <c r="B32" s="25" t="s">
        <v>139</v>
      </c>
      <c r="C32" s="32"/>
      <c r="D32" s="35"/>
      <c r="E32" s="26">
        <f t="shared" si="0"/>
        <v>0</v>
      </c>
    </row>
    <row r="33" spans="1:5" ht="15.75" x14ac:dyDescent="0.25">
      <c r="A33" s="19" t="s">
        <v>34</v>
      </c>
      <c r="B33" s="16" t="s">
        <v>35</v>
      </c>
      <c r="C33" s="27">
        <v>405.61</v>
      </c>
      <c r="D33" s="26">
        <f>D34+D35+D36+D37+D38+D39+D40+D41+D42+D43+D44+D45+D46+D47+D48+D49+D50+D51+D52+D53+D54+D55+D56+D57</f>
        <v>991.29963999999995</v>
      </c>
      <c r="E33" s="26">
        <f t="shared" si="0"/>
        <v>-585.68963999999994</v>
      </c>
    </row>
    <row r="34" spans="1:5" ht="31.5" x14ac:dyDescent="0.25">
      <c r="A34" s="21" t="s">
        <v>76</v>
      </c>
      <c r="B34" s="16" t="s">
        <v>36</v>
      </c>
      <c r="C34" s="27"/>
      <c r="D34" s="36"/>
      <c r="E34" s="26"/>
    </row>
    <row r="35" spans="1:5" ht="15.75" x14ac:dyDescent="0.25">
      <c r="A35" s="21" t="s">
        <v>77</v>
      </c>
      <c r="B35" s="20" t="s">
        <v>37</v>
      </c>
      <c r="C35" s="27"/>
      <c r="D35" s="40">
        <f>('60'!H22+'60'!H37+'60'!H50)/1000</f>
        <v>49.833829999999999</v>
      </c>
      <c r="E35" s="26"/>
    </row>
    <row r="36" spans="1:5" ht="15.75" x14ac:dyDescent="0.25">
      <c r="A36" s="21" t="s">
        <v>78</v>
      </c>
      <c r="B36" s="20" t="s">
        <v>3</v>
      </c>
      <c r="C36" s="27"/>
      <c r="D36" s="40"/>
      <c r="E36" s="26"/>
    </row>
    <row r="37" spans="1:5" ht="15.75" x14ac:dyDescent="0.25">
      <c r="A37" s="21" t="s">
        <v>79</v>
      </c>
      <c r="B37" s="20" t="s">
        <v>4</v>
      </c>
      <c r="C37" s="27"/>
      <c r="D37" s="40">
        <f>('60'!H19+'60'!H32+'60'!H35+'60'!H54+'60'!H57)/1000</f>
        <v>469.08533999999997</v>
      </c>
      <c r="E37" s="26"/>
    </row>
    <row r="38" spans="1:5" ht="15.75" x14ac:dyDescent="0.25">
      <c r="A38" s="21" t="s">
        <v>80</v>
      </c>
      <c r="B38" s="20" t="s">
        <v>5</v>
      </c>
      <c r="C38" s="27"/>
      <c r="D38" s="40">
        <f>'60'!H24/1000</f>
        <v>5.0199999999999996</v>
      </c>
      <c r="E38" s="26"/>
    </row>
    <row r="39" spans="1:5" ht="15.75" x14ac:dyDescent="0.25">
      <c r="A39" s="21" t="s">
        <v>81</v>
      </c>
      <c r="B39" s="20" t="s">
        <v>38</v>
      </c>
      <c r="C39" s="27"/>
      <c r="D39" s="40"/>
      <c r="E39" s="26"/>
    </row>
    <row r="40" spans="1:5" ht="15.75" x14ac:dyDescent="0.25">
      <c r="A40" s="21" t="s">
        <v>82</v>
      </c>
      <c r="B40" s="16" t="s">
        <v>7</v>
      </c>
      <c r="C40" s="27"/>
      <c r="D40" s="40">
        <f>'60'!H14/1000</f>
        <v>49.5</v>
      </c>
      <c r="E40" s="26"/>
    </row>
    <row r="41" spans="1:5" ht="15.75" x14ac:dyDescent="0.25">
      <c r="A41" s="21" t="s">
        <v>83</v>
      </c>
      <c r="B41" s="16" t="s">
        <v>8</v>
      </c>
      <c r="C41" s="27"/>
      <c r="D41" s="40"/>
      <c r="E41" s="26"/>
    </row>
    <row r="42" spans="1:5" ht="31.5" x14ac:dyDescent="0.25">
      <c r="A42" s="21" t="s">
        <v>84</v>
      </c>
      <c r="B42" s="16" t="s">
        <v>9</v>
      </c>
      <c r="C42" s="27"/>
      <c r="D42" s="40">
        <f>('60'!H27+'60'!H38+'60'!H53+'60'!H56)/1000</f>
        <v>320.79346000000004</v>
      </c>
      <c r="E42" s="26"/>
    </row>
    <row r="43" spans="1:5" ht="15.75" x14ac:dyDescent="0.25">
      <c r="A43" s="21" t="s">
        <v>85</v>
      </c>
      <c r="B43" s="16" t="s">
        <v>39</v>
      </c>
      <c r="C43" s="27"/>
      <c r="D43" s="40"/>
      <c r="E43" s="26"/>
    </row>
    <row r="44" spans="1:5" ht="15.75" x14ac:dyDescent="0.25">
      <c r="A44" s="21" t="s">
        <v>86</v>
      </c>
      <c r="B44" s="16" t="s">
        <v>40</v>
      </c>
      <c r="C44" s="27"/>
      <c r="D44" s="29"/>
      <c r="E44" s="26"/>
    </row>
    <row r="45" spans="1:5" ht="15.75" x14ac:dyDescent="0.25">
      <c r="A45" s="21" t="s">
        <v>87</v>
      </c>
      <c r="B45" s="20" t="s">
        <v>41</v>
      </c>
      <c r="C45" s="27"/>
      <c r="D45" s="29"/>
      <c r="E45" s="26"/>
    </row>
    <row r="46" spans="1:5" ht="15.75" x14ac:dyDescent="0.25">
      <c r="A46" s="21" t="s">
        <v>88</v>
      </c>
      <c r="B46" s="16" t="s">
        <v>42</v>
      </c>
      <c r="C46" s="27"/>
      <c r="D46" s="29"/>
      <c r="E46" s="26"/>
    </row>
    <row r="47" spans="1:5" ht="15.75" x14ac:dyDescent="0.25">
      <c r="A47" s="21" t="s">
        <v>89</v>
      </c>
      <c r="B47" s="16" t="s">
        <v>43</v>
      </c>
      <c r="C47" s="27"/>
      <c r="D47" s="29"/>
      <c r="E47" s="26"/>
    </row>
    <row r="48" spans="1:5" ht="15.75" x14ac:dyDescent="0.25">
      <c r="A48" s="21" t="s">
        <v>90</v>
      </c>
      <c r="B48" s="20" t="s">
        <v>44</v>
      </c>
      <c r="C48" s="27"/>
      <c r="D48" s="29"/>
      <c r="E48" s="26"/>
    </row>
    <row r="49" spans="1:7" ht="15.75" x14ac:dyDescent="0.25">
      <c r="A49" s="21" t="s">
        <v>91</v>
      </c>
      <c r="B49" s="20" t="s">
        <v>45</v>
      </c>
      <c r="C49" s="27"/>
      <c r="D49" s="29"/>
      <c r="E49" s="26"/>
    </row>
    <row r="50" spans="1:7" ht="15.75" x14ac:dyDescent="0.25">
      <c r="A50" s="21" t="s">
        <v>91</v>
      </c>
      <c r="B50" s="20" t="s">
        <v>46</v>
      </c>
      <c r="C50" s="27"/>
      <c r="D50" s="29"/>
      <c r="E50" s="26"/>
    </row>
    <row r="51" spans="1:7" ht="15.75" x14ac:dyDescent="0.25">
      <c r="A51" s="21" t="s">
        <v>92</v>
      </c>
      <c r="B51" s="20" t="s">
        <v>47</v>
      </c>
      <c r="C51" s="27"/>
      <c r="D51" s="29"/>
      <c r="E51" s="26"/>
    </row>
    <row r="52" spans="1:7" ht="15.75" x14ac:dyDescent="0.25">
      <c r="A52" s="21" t="s">
        <v>93</v>
      </c>
      <c r="B52" s="16" t="s">
        <v>48</v>
      </c>
      <c r="C52" s="27"/>
      <c r="D52" s="28"/>
      <c r="E52" s="26"/>
    </row>
    <row r="53" spans="1:7" ht="15.75" x14ac:dyDescent="0.25">
      <c r="A53" s="21" t="s">
        <v>94</v>
      </c>
      <c r="B53" s="16" t="s">
        <v>10</v>
      </c>
      <c r="C53" s="27"/>
      <c r="D53" s="29"/>
      <c r="E53" s="26"/>
    </row>
    <row r="54" spans="1:7" ht="15.75" x14ac:dyDescent="0.25">
      <c r="A54" s="21" t="s">
        <v>95</v>
      </c>
      <c r="B54" s="16" t="s">
        <v>6</v>
      </c>
      <c r="C54" s="27"/>
      <c r="D54" s="40">
        <f>('60'!H18+'60'!H36)/1000</f>
        <v>78.675610000000006</v>
      </c>
      <c r="E54" s="26"/>
    </row>
    <row r="55" spans="1:7" ht="15.75" x14ac:dyDescent="0.25">
      <c r="A55" s="21" t="s">
        <v>96</v>
      </c>
      <c r="B55" s="16" t="s">
        <v>11</v>
      </c>
      <c r="C55" s="27"/>
      <c r="D55" s="29"/>
      <c r="E55" s="26"/>
    </row>
    <row r="56" spans="1:7" ht="15.75" x14ac:dyDescent="0.25">
      <c r="A56" s="21" t="s">
        <v>97</v>
      </c>
      <c r="B56" s="16" t="s">
        <v>49</v>
      </c>
      <c r="C56" s="27"/>
      <c r="D56" s="29"/>
      <c r="E56" s="26"/>
    </row>
    <row r="57" spans="1:7" ht="15.75" x14ac:dyDescent="0.25">
      <c r="A57" s="21" t="s">
        <v>98</v>
      </c>
      <c r="B57" s="16" t="s">
        <v>12</v>
      </c>
      <c r="C57" s="27"/>
      <c r="D57" s="29">
        <f>('60'!H23+'60'!H55)/1000</f>
        <v>18.391400000000001</v>
      </c>
      <c r="E57" s="26"/>
    </row>
    <row r="58" spans="1:7" ht="15.75" x14ac:dyDescent="0.25">
      <c r="A58" s="21" t="s">
        <v>664</v>
      </c>
      <c r="B58" s="16" t="str">
        <f>'60'!N25</f>
        <v>Охрана, пожарная безопасность</v>
      </c>
      <c r="C58" s="27"/>
      <c r="D58" s="29">
        <f>'60'!H25/1000</f>
        <v>15</v>
      </c>
      <c r="E58" s="26"/>
    </row>
    <row r="59" spans="1:7" ht="15.75" x14ac:dyDescent="0.25">
      <c r="A59" s="21" t="s">
        <v>665</v>
      </c>
      <c r="B59" s="16" t="str">
        <f>'60'!N26</f>
        <v>Программное обеспечение</v>
      </c>
      <c r="C59" s="27"/>
      <c r="D59" s="29">
        <f>('60'!H26+'60'!H31+'60'!H34)/1000</f>
        <v>56.374000000000002</v>
      </c>
      <c r="E59" s="26"/>
    </row>
    <row r="60" spans="1:7" ht="15.75" x14ac:dyDescent="0.25">
      <c r="A60" s="21" t="s">
        <v>666</v>
      </c>
      <c r="B60" s="16" t="str">
        <f>'60'!N60</f>
        <v>регистратор ООО</v>
      </c>
      <c r="C60" s="27"/>
      <c r="D60" s="29">
        <f>'60'!H60/1000</f>
        <v>32.6</v>
      </c>
      <c r="E60" s="26"/>
    </row>
    <row r="61" spans="1:7" ht="15.75" x14ac:dyDescent="0.25">
      <c r="A61" s="22" t="s">
        <v>99</v>
      </c>
      <c r="B61" s="18" t="s">
        <v>50</v>
      </c>
      <c r="C61" s="26">
        <f>C63+C70+C76+C78+C79</f>
        <v>10025.700000000001</v>
      </c>
      <c r="D61" s="26">
        <f>D62+D63+D70+D71+D72+D75+D76+D78+D101</f>
        <v>9709.0502899999992</v>
      </c>
      <c r="E61" s="26">
        <f t="shared" si="0"/>
        <v>316.64971000000151</v>
      </c>
      <c r="G61" s="10"/>
    </row>
    <row r="62" spans="1:7" ht="15.75" x14ac:dyDescent="0.25">
      <c r="A62" s="21" t="s">
        <v>100</v>
      </c>
      <c r="B62" s="16" t="s">
        <v>13</v>
      </c>
      <c r="C62" s="27"/>
      <c r="D62" s="36"/>
      <c r="E62" s="26"/>
    </row>
    <row r="63" spans="1:7" ht="15.75" x14ac:dyDescent="0.25">
      <c r="A63" s="21" t="s">
        <v>101</v>
      </c>
      <c r="B63" s="16" t="s">
        <v>51</v>
      </c>
      <c r="C63" s="27">
        <v>781.05</v>
      </c>
      <c r="D63" s="27">
        <f>D64+D65+D66+D67</f>
        <v>627.59799999999996</v>
      </c>
      <c r="E63" s="26">
        <f t="shared" si="0"/>
        <v>153.452</v>
      </c>
    </row>
    <row r="64" spans="1:7" ht="15.75" x14ac:dyDescent="0.25">
      <c r="A64" s="21" t="s">
        <v>102</v>
      </c>
      <c r="B64" s="16" t="s">
        <v>52</v>
      </c>
      <c r="C64" s="27"/>
      <c r="D64" s="27"/>
      <c r="E64" s="26"/>
    </row>
    <row r="65" spans="1:9" ht="15.75" x14ac:dyDescent="0.25">
      <c r="A65" s="21" t="s">
        <v>103</v>
      </c>
      <c r="B65" s="16" t="s">
        <v>14</v>
      </c>
      <c r="C65" s="27"/>
      <c r="D65" s="27">
        <f>'91'!N22/1000</f>
        <v>484.315</v>
      </c>
      <c r="E65" s="26"/>
    </row>
    <row r="66" spans="1:9" ht="15.75" x14ac:dyDescent="0.25">
      <c r="A66" s="21" t="s">
        <v>104</v>
      </c>
      <c r="B66" s="16" t="s">
        <v>53</v>
      </c>
      <c r="C66" s="27"/>
      <c r="D66" s="27"/>
      <c r="E66" s="26"/>
    </row>
    <row r="67" spans="1:9" ht="15.75" x14ac:dyDescent="0.25">
      <c r="A67" s="21" t="s">
        <v>145</v>
      </c>
      <c r="B67" s="20" t="s">
        <v>15</v>
      </c>
      <c r="C67" s="27"/>
      <c r="D67" s="27">
        <f>'91'!N19/1000</f>
        <v>143.28299999999999</v>
      </c>
      <c r="E67" s="26"/>
    </row>
    <row r="68" spans="1:9" ht="15.75" x14ac:dyDescent="0.25">
      <c r="A68" s="21"/>
      <c r="C68" s="27"/>
      <c r="D68" s="27"/>
      <c r="E68" s="26"/>
    </row>
    <row r="69" spans="1:9" ht="15.75" x14ac:dyDescent="0.25">
      <c r="A69" s="21" t="s">
        <v>146</v>
      </c>
      <c r="B69" s="20" t="s">
        <v>54</v>
      </c>
      <c r="C69" s="27"/>
      <c r="D69" s="27"/>
      <c r="E69" s="26"/>
    </row>
    <row r="70" spans="1:9" ht="15.75" x14ac:dyDescent="0.25">
      <c r="A70" s="21" t="s">
        <v>105</v>
      </c>
      <c r="B70" s="16" t="s">
        <v>55</v>
      </c>
      <c r="C70" s="27">
        <v>2268.31</v>
      </c>
      <c r="D70" s="27">
        <f>'20'!N20/1000</f>
        <v>2856.9288899999997</v>
      </c>
      <c r="E70" s="26">
        <f t="shared" si="0"/>
        <v>-588.61888999999974</v>
      </c>
    </row>
    <row r="71" spans="1:9" ht="31.5" x14ac:dyDescent="0.25">
      <c r="A71" s="21" t="s">
        <v>106</v>
      </c>
      <c r="B71" s="16" t="s">
        <v>56</v>
      </c>
      <c r="C71" s="27"/>
      <c r="D71" s="27"/>
      <c r="E71" s="26"/>
    </row>
    <row r="72" spans="1:9" ht="31.5" x14ac:dyDescent="0.25">
      <c r="A72" s="21" t="s">
        <v>107</v>
      </c>
      <c r="B72" s="16" t="s">
        <v>57</v>
      </c>
      <c r="C72" s="27"/>
      <c r="D72" s="27">
        <f>D73+D74</f>
        <v>0</v>
      </c>
      <c r="E72" s="26"/>
    </row>
    <row r="73" spans="1:9" ht="15.75" x14ac:dyDescent="0.25">
      <c r="A73" s="21" t="s">
        <v>108</v>
      </c>
      <c r="B73" s="16" t="s">
        <v>58</v>
      </c>
      <c r="C73" s="27"/>
      <c r="D73" s="36"/>
      <c r="E73" s="26"/>
    </row>
    <row r="74" spans="1:9" ht="15.75" x14ac:dyDescent="0.25">
      <c r="A74" s="21" t="s">
        <v>109</v>
      </c>
      <c r="B74" s="16" t="s">
        <v>59</v>
      </c>
      <c r="C74" s="27"/>
      <c r="D74" s="36"/>
      <c r="E74" s="26"/>
    </row>
    <row r="75" spans="1:9" ht="15.75" x14ac:dyDescent="0.25">
      <c r="A75" s="21" t="s">
        <v>110</v>
      </c>
      <c r="B75" s="16" t="s">
        <v>60</v>
      </c>
      <c r="C75" s="27"/>
      <c r="D75" s="43">
        <f>'60'!H58/1000</f>
        <v>213.99149</v>
      </c>
      <c r="E75" s="26">
        <f t="shared" si="0"/>
        <v>-213.99149</v>
      </c>
    </row>
    <row r="76" spans="1:9" ht="15.75" x14ac:dyDescent="0.25">
      <c r="A76" s="21" t="s">
        <v>111</v>
      </c>
      <c r="B76" s="16" t="s">
        <v>61</v>
      </c>
      <c r="C76" s="27">
        <v>2563.79</v>
      </c>
      <c r="D76" s="27">
        <f>D18*0.31</f>
        <v>2200.3180000000002</v>
      </c>
      <c r="E76" s="26">
        <f t="shared" si="0"/>
        <v>363.47199999999975</v>
      </c>
      <c r="G76" s="13"/>
      <c r="I76" s="12"/>
    </row>
    <row r="77" spans="1:9" ht="15.75" x14ac:dyDescent="0.25">
      <c r="A77" s="21"/>
      <c r="B77" s="16" t="s">
        <v>29</v>
      </c>
      <c r="C77" s="27"/>
      <c r="D77" s="36"/>
      <c r="E77" s="26"/>
      <c r="G77" s="9"/>
      <c r="H77" s="9"/>
    </row>
    <row r="78" spans="1:9" ht="15.75" x14ac:dyDescent="0.25">
      <c r="A78" s="21" t="s">
        <v>112</v>
      </c>
      <c r="B78" s="16" t="s">
        <v>62</v>
      </c>
      <c r="C78" s="27">
        <v>2148.35</v>
      </c>
      <c r="D78" s="36">
        <f>('91'!N28+'91'!N31+'91'!N32)/1000+2000</f>
        <v>2106.6119100000001</v>
      </c>
      <c r="E78" s="26">
        <f t="shared" si="0"/>
        <v>41.738089999999829</v>
      </c>
    </row>
    <row r="79" spans="1:9" ht="15.75" x14ac:dyDescent="0.25">
      <c r="A79" s="21" t="s">
        <v>144</v>
      </c>
      <c r="B79" s="16" t="s">
        <v>147</v>
      </c>
      <c r="C79" s="27">
        <v>2264.1999999999998</v>
      </c>
      <c r="D79" s="36">
        <f>G101-C70</f>
        <v>1703.6019999999999</v>
      </c>
      <c r="E79" s="26">
        <f t="shared" si="0"/>
        <v>560.59799999999996</v>
      </c>
    </row>
    <row r="80" spans="1:9" ht="31.5" x14ac:dyDescent="0.25">
      <c r="A80" s="21" t="s">
        <v>113</v>
      </c>
      <c r="B80" s="16" t="s">
        <v>119</v>
      </c>
      <c r="C80" s="27">
        <v>-760.01</v>
      </c>
      <c r="D80" s="27">
        <f>D81+D82</f>
        <v>0</v>
      </c>
      <c r="E80" s="26">
        <f t="shared" ref="E80:E101" si="1">C80-D80</f>
        <v>-760.01</v>
      </c>
    </row>
    <row r="81" spans="1:11" ht="78.75" hidden="1" x14ac:dyDescent="0.25">
      <c r="A81" s="21" t="s">
        <v>120</v>
      </c>
      <c r="B81" s="16" t="s">
        <v>121</v>
      </c>
      <c r="C81" s="27"/>
      <c r="D81" s="36"/>
      <c r="E81" s="26">
        <f t="shared" si="1"/>
        <v>0</v>
      </c>
    </row>
    <row r="82" spans="1:11" ht="31.5" hidden="1" x14ac:dyDescent="0.25">
      <c r="A82" s="21" t="s">
        <v>122</v>
      </c>
      <c r="B82" s="16" t="s">
        <v>123</v>
      </c>
      <c r="C82" s="27"/>
      <c r="D82" s="36"/>
      <c r="E82" s="26">
        <f t="shared" si="1"/>
        <v>0</v>
      </c>
    </row>
    <row r="83" spans="1:11" ht="31.5" hidden="1" x14ac:dyDescent="0.25">
      <c r="A83" s="21" t="s">
        <v>125</v>
      </c>
      <c r="B83" s="16" t="s">
        <v>126</v>
      </c>
      <c r="C83" s="27"/>
      <c r="D83" s="36"/>
      <c r="E83" s="26">
        <f t="shared" si="1"/>
        <v>0</v>
      </c>
    </row>
    <row r="84" spans="1:11" ht="31.5" x14ac:dyDescent="0.25">
      <c r="A84" s="21" t="s">
        <v>124</v>
      </c>
      <c r="B84" s="16" t="s">
        <v>127</v>
      </c>
      <c r="C84" s="27">
        <v>287.95</v>
      </c>
      <c r="D84" s="36"/>
      <c r="E84" s="26">
        <f t="shared" si="1"/>
        <v>287.95</v>
      </c>
      <c r="G84" s="7"/>
    </row>
    <row r="85" spans="1:11" ht="15.75" x14ac:dyDescent="0.25">
      <c r="A85" s="21" t="s">
        <v>114</v>
      </c>
      <c r="B85" s="16" t="s">
        <v>128</v>
      </c>
      <c r="C85" s="26">
        <f>C12+C61+C84+C80</f>
        <v>23400.800000000003</v>
      </c>
      <c r="D85" s="26">
        <f>D12+D61+D80+D84</f>
        <v>22992.902636666666</v>
      </c>
      <c r="E85" s="26">
        <f t="shared" si="1"/>
        <v>407.89736333333713</v>
      </c>
      <c r="G85" s="7"/>
      <c r="I85" s="8">
        <f>C61</f>
        <v>10025.700000000001</v>
      </c>
      <c r="J85" s="7"/>
      <c r="K85" s="7"/>
    </row>
    <row r="86" spans="1:11" ht="31.5" x14ac:dyDescent="0.25">
      <c r="A86" s="21" t="s">
        <v>115</v>
      </c>
      <c r="B86" s="16" t="s">
        <v>64</v>
      </c>
      <c r="C86" s="27">
        <v>5600.99</v>
      </c>
      <c r="D86" s="27">
        <f>ТНС!D16-2000</f>
        <v>5379.2911499999991</v>
      </c>
      <c r="E86" s="26">
        <f t="shared" si="1"/>
        <v>221.69885000000068</v>
      </c>
      <c r="G86" s="7"/>
      <c r="I86" s="1">
        <v>10024.69</v>
      </c>
      <c r="J86" s="7"/>
      <c r="K86" s="7"/>
    </row>
    <row r="87" spans="1:11" ht="15.75" hidden="1" x14ac:dyDescent="0.25">
      <c r="A87" s="230" t="s">
        <v>142</v>
      </c>
      <c r="B87" s="231"/>
      <c r="C87" s="27"/>
      <c r="D87" s="36"/>
      <c r="E87" s="26">
        <f t="shared" si="1"/>
        <v>0</v>
      </c>
      <c r="G87" s="7"/>
      <c r="J87" s="7"/>
      <c r="K87" s="7"/>
    </row>
    <row r="88" spans="1:11" ht="15.75" hidden="1" x14ac:dyDescent="0.25">
      <c r="A88" s="24">
        <v>1</v>
      </c>
      <c r="B88" s="25" t="s">
        <v>131</v>
      </c>
      <c r="C88" s="27"/>
      <c r="D88" s="27"/>
      <c r="E88" s="26">
        <f t="shared" si="1"/>
        <v>0</v>
      </c>
      <c r="G88" s="7"/>
      <c r="J88" s="7"/>
      <c r="K88" s="7"/>
    </row>
    <row r="89" spans="1:11" ht="15.75" hidden="1" x14ac:dyDescent="0.25">
      <c r="A89" s="24">
        <v>2</v>
      </c>
      <c r="B89" s="25" t="s">
        <v>141</v>
      </c>
      <c r="C89" s="27"/>
      <c r="D89" s="27"/>
      <c r="E89" s="26">
        <f t="shared" si="1"/>
        <v>0</v>
      </c>
      <c r="G89" s="7"/>
      <c r="J89" s="7"/>
      <c r="K89" s="7"/>
    </row>
    <row r="90" spans="1:11" ht="15.75" hidden="1" x14ac:dyDescent="0.25">
      <c r="A90" s="24">
        <v>3</v>
      </c>
      <c r="B90" s="25" t="s">
        <v>143</v>
      </c>
      <c r="C90" s="27"/>
      <c r="D90" s="27"/>
      <c r="E90" s="26">
        <f t="shared" si="1"/>
        <v>0</v>
      </c>
      <c r="G90" s="7"/>
      <c r="J90" s="7"/>
      <c r="K90" s="7"/>
    </row>
    <row r="91" spans="1:11" ht="15.75" hidden="1" x14ac:dyDescent="0.25">
      <c r="A91" s="24">
        <v>4</v>
      </c>
      <c r="B91" s="25" t="s">
        <v>134</v>
      </c>
      <c r="C91" s="27"/>
      <c r="D91" s="36"/>
      <c r="E91" s="26">
        <f t="shared" si="1"/>
        <v>0</v>
      </c>
      <c r="G91" s="7"/>
      <c r="J91" s="7"/>
      <c r="K91" s="7"/>
    </row>
    <row r="92" spans="1:11" ht="15.75" hidden="1" x14ac:dyDescent="0.25">
      <c r="A92" s="24">
        <v>5</v>
      </c>
      <c r="B92" s="25" t="s">
        <v>135</v>
      </c>
      <c r="C92" s="27"/>
      <c r="D92" s="36"/>
      <c r="E92" s="26">
        <f t="shared" si="1"/>
        <v>0</v>
      </c>
      <c r="G92" s="7"/>
      <c r="J92" s="7"/>
      <c r="K92" s="7"/>
    </row>
    <row r="93" spans="1:11" ht="15.75" hidden="1" x14ac:dyDescent="0.25">
      <c r="A93" s="24">
        <v>6</v>
      </c>
      <c r="B93" s="25" t="s">
        <v>136</v>
      </c>
      <c r="C93" s="27"/>
      <c r="D93" s="36"/>
      <c r="E93" s="26">
        <f t="shared" si="1"/>
        <v>0</v>
      </c>
      <c r="G93" s="7"/>
      <c r="J93" s="7"/>
      <c r="K93" s="7"/>
    </row>
    <row r="94" spans="1:11" ht="15.75" hidden="1" x14ac:dyDescent="0.25">
      <c r="A94" s="24">
        <v>7</v>
      </c>
      <c r="B94" s="25" t="s">
        <v>0</v>
      </c>
      <c r="C94" s="27"/>
      <c r="D94" s="36"/>
      <c r="E94" s="26">
        <f t="shared" si="1"/>
        <v>0</v>
      </c>
      <c r="G94" s="7"/>
      <c r="J94" s="7"/>
      <c r="K94" s="7"/>
    </row>
    <row r="95" spans="1:11" ht="15.75" hidden="1" x14ac:dyDescent="0.25">
      <c r="A95" s="24">
        <v>8</v>
      </c>
      <c r="B95" s="25" t="s">
        <v>1</v>
      </c>
      <c r="C95" s="27"/>
      <c r="D95" s="36"/>
      <c r="E95" s="26">
        <f t="shared" si="1"/>
        <v>0</v>
      </c>
      <c r="G95" s="7"/>
      <c r="J95" s="7"/>
      <c r="K95" s="7"/>
    </row>
    <row r="96" spans="1:11" ht="15.75" hidden="1" x14ac:dyDescent="0.25">
      <c r="A96" s="24">
        <v>9</v>
      </c>
      <c r="B96" s="25" t="s">
        <v>2</v>
      </c>
      <c r="C96" s="27"/>
      <c r="D96" s="36"/>
      <c r="E96" s="26">
        <f t="shared" si="1"/>
        <v>0</v>
      </c>
      <c r="G96" s="7"/>
      <c r="J96" s="7"/>
      <c r="K96" s="7"/>
    </row>
    <row r="97" spans="1:11" ht="15.75" hidden="1" x14ac:dyDescent="0.25">
      <c r="A97" s="24">
        <v>10</v>
      </c>
      <c r="B97" s="25" t="s">
        <v>137</v>
      </c>
      <c r="C97" s="27"/>
      <c r="D97" s="36"/>
      <c r="E97" s="26">
        <f t="shared" si="1"/>
        <v>0</v>
      </c>
      <c r="G97" s="7"/>
      <c r="J97" s="7"/>
      <c r="K97" s="7"/>
    </row>
    <row r="98" spans="1:11" ht="15.75" hidden="1" x14ac:dyDescent="0.25">
      <c r="A98" s="24">
        <v>11</v>
      </c>
      <c r="B98" s="25" t="s">
        <v>138</v>
      </c>
      <c r="C98" s="27"/>
      <c r="D98" s="36"/>
      <c r="E98" s="26">
        <f t="shared" si="1"/>
        <v>0</v>
      </c>
      <c r="G98" s="7"/>
      <c r="J98" s="7"/>
      <c r="K98" s="7"/>
    </row>
    <row r="99" spans="1:11" ht="15.75" hidden="1" x14ac:dyDescent="0.25">
      <c r="A99" s="24">
        <v>12</v>
      </c>
      <c r="B99" s="25" t="s">
        <v>139</v>
      </c>
      <c r="C99" s="27"/>
      <c r="D99" s="36"/>
      <c r="E99" s="26">
        <f t="shared" si="1"/>
        <v>0</v>
      </c>
      <c r="G99" s="7"/>
      <c r="J99" s="7"/>
      <c r="K99" s="7"/>
    </row>
    <row r="100" spans="1:11" ht="15.75" x14ac:dyDescent="0.25">
      <c r="A100" s="21" t="s">
        <v>116</v>
      </c>
      <c r="B100" s="16" t="s">
        <v>63</v>
      </c>
      <c r="C100" s="27">
        <f>C86+C85</f>
        <v>29001.79</v>
      </c>
      <c r="D100" s="27">
        <f>D85+D86</f>
        <v>28372.193786666663</v>
      </c>
      <c r="E100" s="26">
        <f t="shared" si="1"/>
        <v>629.5962133333378</v>
      </c>
      <c r="G100" s="7"/>
      <c r="I100" s="8">
        <f>I85-I86</f>
        <v>1.0100000000002183</v>
      </c>
      <c r="J100" s="7"/>
      <c r="K100" s="7"/>
    </row>
    <row r="101" spans="1:11" ht="15.75" x14ac:dyDescent="0.25">
      <c r="A101" s="21" t="s">
        <v>129</v>
      </c>
      <c r="B101" s="16" t="s">
        <v>16</v>
      </c>
      <c r="C101" s="27">
        <f>C79</f>
        <v>2264.1999999999998</v>
      </c>
      <c r="D101" s="36">
        <f>D79</f>
        <v>1703.6019999999999</v>
      </c>
      <c r="E101" s="26">
        <f t="shared" si="1"/>
        <v>560.59799999999996</v>
      </c>
      <c r="G101" s="7">
        <f>3971912/1000</f>
        <v>3971.9119999999998</v>
      </c>
      <c r="I101" s="8">
        <v>23399.8</v>
      </c>
      <c r="J101" s="8"/>
      <c r="K101" s="8"/>
    </row>
    <row r="102" spans="1:11" ht="15.75" x14ac:dyDescent="0.25">
      <c r="A102" s="229" t="s">
        <v>65</v>
      </c>
      <c r="B102" s="229"/>
      <c r="I102" s="8">
        <f>I101-C85</f>
        <v>-1.000000000003638</v>
      </c>
    </row>
    <row r="103" spans="1:11" ht="15.75" x14ac:dyDescent="0.25">
      <c r="A103" s="232" t="s">
        <v>66</v>
      </c>
      <c r="B103" s="232"/>
      <c r="C103" s="232"/>
      <c r="D103" s="232"/>
      <c r="E103" s="44"/>
    </row>
    <row r="104" spans="1:11" ht="15.75" x14ac:dyDescent="0.25">
      <c r="A104" s="3"/>
    </row>
    <row r="105" spans="1:11" ht="15.75" x14ac:dyDescent="0.25">
      <c r="A105" s="4" t="s">
        <v>67</v>
      </c>
    </row>
    <row r="106" spans="1:11" x14ac:dyDescent="0.25">
      <c r="A106" s="5" t="s">
        <v>68</v>
      </c>
      <c r="E106" s="148"/>
    </row>
    <row r="107" spans="1:11" ht="15.75" x14ac:dyDescent="0.25">
      <c r="A107" s="4" t="s">
        <v>69</v>
      </c>
      <c r="E107" s="149"/>
    </row>
    <row r="108" spans="1:11" ht="15.75" x14ac:dyDescent="0.25">
      <c r="A108" s="4" t="s">
        <v>118</v>
      </c>
      <c r="E108" s="150"/>
    </row>
    <row r="109" spans="1:11" x14ac:dyDescent="0.25">
      <c r="A109" s="5" t="s">
        <v>70</v>
      </c>
      <c r="E109" s="150"/>
    </row>
    <row r="110" spans="1:11" ht="15.75" x14ac:dyDescent="0.25">
      <c r="A110" s="4" t="s">
        <v>71</v>
      </c>
    </row>
    <row r="111" spans="1:11" ht="15.75" x14ac:dyDescent="0.25">
      <c r="A111" s="4"/>
    </row>
    <row r="112" spans="1:11" ht="15.75" x14ac:dyDescent="0.25">
      <c r="A112" s="4" t="s">
        <v>117</v>
      </c>
    </row>
    <row r="113" spans="1:3" x14ac:dyDescent="0.25">
      <c r="A113" s="5" t="s">
        <v>72</v>
      </c>
    </row>
    <row r="114" spans="1:3" ht="15.75" x14ac:dyDescent="0.25">
      <c r="A114" s="4" t="s">
        <v>73</v>
      </c>
    </row>
    <row r="115" spans="1:3" ht="15.75" x14ac:dyDescent="0.25">
      <c r="A115" s="4" t="s">
        <v>74</v>
      </c>
    </row>
    <row r="118" spans="1:3" x14ac:dyDescent="0.25">
      <c r="C118" s="8">
        <f>C85-23399.8</f>
        <v>1.000000000003638</v>
      </c>
    </row>
    <row r="119" spans="1:3" x14ac:dyDescent="0.25">
      <c r="C119" s="8">
        <f>C85-C101</f>
        <v>21136.600000000002</v>
      </c>
    </row>
    <row r="121" spans="1:3" x14ac:dyDescent="0.25">
      <c r="C121" s="8"/>
    </row>
  </sheetData>
  <mergeCells count="11">
    <mergeCell ref="A87:B87"/>
    <mergeCell ref="A102:B102"/>
    <mergeCell ref="A103:D103"/>
    <mergeCell ref="A1:D1"/>
    <mergeCell ref="A2:D2"/>
    <mergeCell ref="A3:D3"/>
    <mergeCell ref="A4:D4"/>
    <mergeCell ref="A20:B20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D24" sqref="D24"/>
    </sheetView>
  </sheetViews>
  <sheetFormatPr defaultRowHeight="15" x14ac:dyDescent="0.25"/>
  <sheetData>
    <row r="3" spans="1:2" x14ac:dyDescent="0.25">
      <c r="A3" t="s">
        <v>131</v>
      </c>
      <c r="B3">
        <v>717.6</v>
      </c>
    </row>
    <row r="4" spans="1:2" x14ac:dyDescent="0.25">
      <c r="A4" t="s">
        <v>132</v>
      </c>
      <c r="B4">
        <v>758.7</v>
      </c>
    </row>
    <row r="5" spans="1:2" x14ac:dyDescent="0.25">
      <c r="A5" t="s">
        <v>133</v>
      </c>
      <c r="B5">
        <v>700.8</v>
      </c>
    </row>
    <row r="6" spans="1:2" x14ac:dyDescent="0.25">
      <c r="A6" t="s">
        <v>134</v>
      </c>
      <c r="B6">
        <v>726.9</v>
      </c>
    </row>
    <row r="7" spans="1:2" x14ac:dyDescent="0.25">
      <c r="A7" t="s">
        <v>135</v>
      </c>
      <c r="B7">
        <v>642.29999999999995</v>
      </c>
    </row>
    <row r="8" spans="1:2" x14ac:dyDescent="0.25">
      <c r="A8" t="s">
        <v>136</v>
      </c>
      <c r="B8">
        <v>784.3</v>
      </c>
    </row>
    <row r="9" spans="1:2" x14ac:dyDescent="0.25">
      <c r="A9" t="s">
        <v>0</v>
      </c>
      <c r="B9">
        <v>720.5</v>
      </c>
    </row>
    <row r="10" spans="1:2" x14ac:dyDescent="0.25">
      <c r="A10" t="s">
        <v>1</v>
      </c>
      <c r="B10">
        <v>721</v>
      </c>
    </row>
    <row r="11" spans="1:2" x14ac:dyDescent="0.25">
      <c r="A11" t="s">
        <v>2</v>
      </c>
      <c r="B11">
        <v>669.4</v>
      </c>
    </row>
    <row r="12" spans="1:2" x14ac:dyDescent="0.25">
      <c r="A12" t="s">
        <v>137</v>
      </c>
      <c r="B12">
        <v>656.3</v>
      </c>
    </row>
    <row r="13" spans="1:2" x14ac:dyDescent="0.25">
      <c r="A13" t="s">
        <v>138</v>
      </c>
    </row>
    <row r="14" spans="1:2" x14ac:dyDescent="0.25">
      <c r="A14" t="s">
        <v>139</v>
      </c>
    </row>
    <row r="17" spans="2:2" x14ac:dyDescent="0.25">
      <c r="B17">
        <f>SUM(B3:B14)</f>
        <v>7097.8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0" workbookViewId="0">
      <selection activeCell="N21" sqref="N21"/>
    </sheetView>
  </sheetViews>
  <sheetFormatPr defaultRowHeight="15" x14ac:dyDescent="0.25"/>
  <cols>
    <col min="10" max="10" width="12.7109375" bestFit="1" customWidth="1"/>
    <col min="14" max="14" width="11.42578125" bestFit="1" customWidth="1"/>
  </cols>
  <sheetData>
    <row r="1" spans="1:13" x14ac:dyDescent="0.25">
      <c r="A1" s="264" t="s">
        <v>149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3" ht="15.75" x14ac:dyDescent="0.25">
      <c r="A2" s="265" t="s">
        <v>150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4" spans="1:13" x14ac:dyDescent="0.25">
      <c r="A4" s="266" t="s">
        <v>151</v>
      </c>
      <c r="B4" s="266"/>
      <c r="C4" s="266"/>
      <c r="D4" s="266" t="s">
        <v>152</v>
      </c>
      <c r="E4" s="266"/>
      <c r="F4" s="266"/>
      <c r="G4" s="266"/>
      <c r="H4" s="266"/>
      <c r="I4" s="266"/>
      <c r="J4" s="266"/>
      <c r="K4" s="266"/>
      <c r="L4" s="266"/>
    </row>
    <row r="7" spans="1:13" x14ac:dyDescent="0.25">
      <c r="A7" s="52" t="s">
        <v>153</v>
      </c>
      <c r="B7" s="52"/>
      <c r="C7" s="52" t="s">
        <v>154</v>
      </c>
      <c r="D7" s="52"/>
      <c r="E7" s="52"/>
    </row>
    <row r="9" spans="1:13" x14ac:dyDescent="0.25">
      <c r="A9" s="259" t="s">
        <v>155</v>
      </c>
      <c r="B9" s="259"/>
      <c r="C9" s="259"/>
      <c r="D9" s="259"/>
      <c r="E9" s="267" t="s">
        <v>156</v>
      </c>
      <c r="F9" s="267"/>
      <c r="G9" s="267"/>
      <c r="H9" s="267" t="s">
        <v>157</v>
      </c>
      <c r="I9" s="267"/>
      <c r="J9" s="267"/>
      <c r="K9" s="267" t="s">
        <v>158</v>
      </c>
      <c r="L9" s="267"/>
      <c r="M9" s="267"/>
    </row>
    <row r="10" spans="1:13" x14ac:dyDescent="0.25">
      <c r="A10" s="259" t="s">
        <v>159</v>
      </c>
      <c r="B10" s="259"/>
      <c r="C10" s="259"/>
      <c r="D10" s="259"/>
      <c r="E10" s="254" t="s">
        <v>160</v>
      </c>
      <c r="F10" s="254"/>
      <c r="G10" s="254" t="s">
        <v>161</v>
      </c>
      <c r="H10" s="254" t="s">
        <v>160</v>
      </c>
      <c r="I10" s="254"/>
      <c r="J10" s="254" t="s">
        <v>161</v>
      </c>
      <c r="K10" s="254" t="s">
        <v>160</v>
      </c>
      <c r="L10" s="254" t="s">
        <v>161</v>
      </c>
      <c r="M10" s="254"/>
    </row>
    <row r="11" spans="1:13" x14ac:dyDescent="0.25">
      <c r="A11" s="259" t="s">
        <v>162</v>
      </c>
      <c r="B11" s="259"/>
      <c r="C11" s="259"/>
      <c r="D11" s="259"/>
      <c r="E11" s="255"/>
      <c r="F11" s="256"/>
      <c r="G11" s="262"/>
      <c r="H11" s="255"/>
      <c r="I11" s="256"/>
      <c r="J11" s="262"/>
      <c r="K11" s="262"/>
      <c r="L11" s="255"/>
      <c r="M11" s="256"/>
    </row>
    <row r="12" spans="1:13" x14ac:dyDescent="0.25">
      <c r="A12" s="259" t="s">
        <v>163</v>
      </c>
      <c r="B12" s="259"/>
      <c r="C12" s="259"/>
      <c r="D12" s="259"/>
      <c r="E12" s="257"/>
      <c r="F12" s="258"/>
      <c r="G12" s="263"/>
      <c r="H12" s="257"/>
      <c r="I12" s="258"/>
      <c r="J12" s="263"/>
      <c r="K12" s="263"/>
      <c r="L12" s="257"/>
      <c r="M12" s="258"/>
    </row>
    <row r="13" spans="1:13" x14ac:dyDescent="0.25">
      <c r="A13" s="260" t="s">
        <v>164</v>
      </c>
      <c r="B13" s="260"/>
      <c r="C13" s="260"/>
      <c r="D13" s="260"/>
      <c r="E13" s="53"/>
      <c r="F13" s="54"/>
      <c r="G13" s="55"/>
      <c r="H13" s="261">
        <v>20864937.02</v>
      </c>
      <c r="I13" s="261"/>
      <c r="J13" s="56">
        <v>20864937.02</v>
      </c>
      <c r="K13" s="55"/>
      <c r="L13" s="53"/>
      <c r="M13" s="54"/>
    </row>
    <row r="14" spans="1:13" x14ac:dyDescent="0.25">
      <c r="A14" s="251" t="s">
        <v>165</v>
      </c>
      <c r="B14" s="251"/>
      <c r="C14" s="251"/>
      <c r="D14" s="251"/>
      <c r="E14" s="57"/>
      <c r="F14" s="58"/>
      <c r="G14" s="59"/>
      <c r="H14" s="252">
        <v>26035.71</v>
      </c>
      <c r="I14" s="252"/>
      <c r="J14" s="60">
        <v>26035.71</v>
      </c>
      <c r="K14" s="59"/>
      <c r="L14" s="57"/>
      <c r="M14" s="58"/>
    </row>
    <row r="15" spans="1:13" x14ac:dyDescent="0.25">
      <c r="A15" s="253" t="s">
        <v>166</v>
      </c>
      <c r="B15" s="253"/>
      <c r="C15" s="253"/>
      <c r="D15" s="253"/>
      <c r="E15" s="61"/>
      <c r="F15" s="62"/>
      <c r="G15" s="63"/>
      <c r="H15" s="247">
        <v>26035.71</v>
      </c>
      <c r="I15" s="247"/>
      <c r="J15" s="64">
        <v>26035.71</v>
      </c>
      <c r="K15" s="63"/>
      <c r="L15" s="61"/>
      <c r="M15" s="62"/>
    </row>
    <row r="16" spans="1:13" x14ac:dyDescent="0.25">
      <c r="A16" s="246" t="s">
        <v>167</v>
      </c>
      <c r="B16" s="246"/>
      <c r="C16" s="246"/>
      <c r="D16" s="246"/>
      <c r="E16" s="61"/>
      <c r="F16" s="62"/>
      <c r="G16" s="63"/>
      <c r="H16" s="247">
        <v>19966.04</v>
      </c>
      <c r="I16" s="247"/>
      <c r="J16" s="64">
        <v>19966.04</v>
      </c>
      <c r="K16" s="63"/>
      <c r="L16" s="61"/>
      <c r="M16" s="62"/>
    </row>
    <row r="17" spans="1:14" x14ac:dyDescent="0.25">
      <c r="A17" s="246" t="s">
        <v>168</v>
      </c>
      <c r="B17" s="246"/>
      <c r="C17" s="246"/>
      <c r="D17" s="246"/>
      <c r="E17" s="61"/>
      <c r="F17" s="62"/>
      <c r="G17" s="63"/>
      <c r="H17" s="247">
        <v>5989.79</v>
      </c>
      <c r="I17" s="247"/>
      <c r="J17" s="64">
        <v>5989.79</v>
      </c>
      <c r="K17" s="63"/>
      <c r="L17" s="61"/>
      <c r="M17" s="62"/>
    </row>
    <row r="18" spans="1:14" x14ac:dyDescent="0.25">
      <c r="A18" s="246" t="s">
        <v>169</v>
      </c>
      <c r="B18" s="246"/>
      <c r="C18" s="246"/>
      <c r="D18" s="246"/>
      <c r="E18" s="61"/>
      <c r="F18" s="62"/>
      <c r="G18" s="63"/>
      <c r="H18" s="250">
        <v>79.88</v>
      </c>
      <c r="I18" s="250"/>
      <c r="J18" s="65">
        <v>79.88</v>
      </c>
      <c r="K18" s="63"/>
      <c r="L18" s="61"/>
      <c r="M18" s="62"/>
    </row>
    <row r="19" spans="1:14" x14ac:dyDescent="0.25">
      <c r="A19" s="251" t="s">
        <v>170</v>
      </c>
      <c r="B19" s="251"/>
      <c r="C19" s="251"/>
      <c r="D19" s="251"/>
      <c r="E19" s="57"/>
      <c r="F19" s="58"/>
      <c r="G19" s="59"/>
      <c r="H19" s="252">
        <v>20838901.309999999</v>
      </c>
      <c r="I19" s="252"/>
      <c r="J19" s="60">
        <v>20838901.309999999</v>
      </c>
      <c r="K19" s="59"/>
      <c r="L19" s="57"/>
      <c r="M19" s="58"/>
    </row>
    <row r="20" spans="1:14" x14ac:dyDescent="0.25">
      <c r="A20" s="253" t="s">
        <v>166</v>
      </c>
      <c r="B20" s="253"/>
      <c r="C20" s="253"/>
      <c r="D20" s="253"/>
      <c r="E20" s="61"/>
      <c r="F20" s="62"/>
      <c r="G20" s="63"/>
      <c r="H20" s="247">
        <v>20838901.309999999</v>
      </c>
      <c r="I20" s="247"/>
      <c r="J20" s="64">
        <v>20838901.309999999</v>
      </c>
      <c r="K20" s="63"/>
      <c r="L20" s="61"/>
      <c r="M20" s="62"/>
      <c r="N20" s="74">
        <f>N21+N22+N23</f>
        <v>2856928.8899999997</v>
      </c>
    </row>
    <row r="21" spans="1:14" x14ac:dyDescent="0.25">
      <c r="A21" s="246" t="s">
        <v>171</v>
      </c>
      <c r="B21" s="246"/>
      <c r="C21" s="246"/>
      <c r="D21" s="246"/>
      <c r="E21" s="61"/>
      <c r="F21" s="62"/>
      <c r="G21" s="63"/>
      <c r="H21" s="247">
        <v>57777.8</v>
      </c>
      <c r="I21" s="247"/>
      <c r="J21" s="64">
        <v>57777.8</v>
      </c>
      <c r="K21" s="63"/>
      <c r="L21" s="61"/>
      <c r="M21" s="62"/>
      <c r="N21" s="74">
        <v>57777.8</v>
      </c>
    </row>
    <row r="22" spans="1:14" x14ac:dyDescent="0.25">
      <c r="A22" s="246" t="s">
        <v>172</v>
      </c>
      <c r="B22" s="246"/>
      <c r="C22" s="246"/>
      <c r="D22" s="246"/>
      <c r="E22" s="61"/>
      <c r="F22" s="62"/>
      <c r="G22" s="63"/>
      <c r="H22" s="247">
        <v>609428</v>
      </c>
      <c r="I22" s="247"/>
      <c r="J22" s="64">
        <v>609428</v>
      </c>
      <c r="K22" s="63"/>
      <c r="L22" s="61"/>
      <c r="M22" s="62"/>
      <c r="N22" s="74">
        <v>609428</v>
      </c>
    </row>
    <row r="23" spans="1:14" x14ac:dyDescent="0.25">
      <c r="A23" s="246" t="s">
        <v>173</v>
      </c>
      <c r="B23" s="246"/>
      <c r="C23" s="246"/>
      <c r="D23" s="246"/>
      <c r="E23" s="61"/>
      <c r="F23" s="62"/>
      <c r="G23" s="63"/>
      <c r="H23" s="247">
        <v>2189723.09</v>
      </c>
      <c r="I23" s="247"/>
      <c r="J23" s="64">
        <v>2189723.09</v>
      </c>
      <c r="K23" s="63"/>
      <c r="L23" s="61"/>
      <c r="M23" s="62"/>
      <c r="N23" s="74">
        <v>2189723.09</v>
      </c>
    </row>
    <row r="24" spans="1:14" x14ac:dyDescent="0.25">
      <c r="A24" s="246" t="s">
        <v>174</v>
      </c>
      <c r="B24" s="246"/>
      <c r="C24" s="246"/>
      <c r="D24" s="246"/>
      <c r="E24" s="61"/>
      <c r="F24" s="62"/>
      <c r="G24" s="63"/>
      <c r="H24" s="247">
        <v>8820</v>
      </c>
      <c r="I24" s="247"/>
      <c r="J24" s="64">
        <v>8820</v>
      </c>
      <c r="K24" s="63"/>
      <c r="L24" s="61"/>
      <c r="M24" s="62"/>
    </row>
    <row r="25" spans="1:14" x14ac:dyDescent="0.25">
      <c r="A25" s="246" t="s">
        <v>175</v>
      </c>
      <c r="B25" s="246"/>
      <c r="C25" s="246"/>
      <c r="D25" s="246"/>
      <c r="E25" s="61"/>
      <c r="F25" s="62"/>
      <c r="G25" s="63"/>
      <c r="H25" s="247">
        <v>3193.7</v>
      </c>
      <c r="I25" s="247"/>
      <c r="J25" s="64">
        <v>3193.7</v>
      </c>
      <c r="K25" s="63"/>
      <c r="L25" s="61"/>
      <c r="M25" s="62"/>
    </row>
    <row r="26" spans="1:14" x14ac:dyDescent="0.25">
      <c r="A26" s="246" t="s">
        <v>167</v>
      </c>
      <c r="B26" s="246"/>
      <c r="C26" s="246"/>
      <c r="D26" s="246"/>
      <c r="E26" s="61"/>
      <c r="F26" s="62"/>
      <c r="G26" s="63"/>
      <c r="H26" s="247">
        <v>5549550.71</v>
      </c>
      <c r="I26" s="247"/>
      <c r="J26" s="64">
        <v>5549550.71</v>
      </c>
      <c r="K26" s="63"/>
      <c r="L26" s="61"/>
      <c r="M26" s="62"/>
    </row>
    <row r="27" spans="1:14" x14ac:dyDescent="0.25">
      <c r="A27" s="246" t="s">
        <v>176</v>
      </c>
      <c r="B27" s="246"/>
      <c r="C27" s="246"/>
      <c r="D27" s="246"/>
      <c r="E27" s="61"/>
      <c r="F27" s="62"/>
      <c r="G27" s="63"/>
      <c r="H27" s="247">
        <v>40766.199999999997</v>
      </c>
      <c r="I27" s="247"/>
      <c r="J27" s="64">
        <v>40766.199999999997</v>
      </c>
      <c r="K27" s="63"/>
      <c r="L27" s="61"/>
      <c r="M27" s="62"/>
    </row>
    <row r="28" spans="1:14" x14ac:dyDescent="0.25">
      <c r="A28" s="246" t="s">
        <v>177</v>
      </c>
      <c r="B28" s="246"/>
      <c r="C28" s="246"/>
      <c r="D28" s="246"/>
      <c r="E28" s="61"/>
      <c r="F28" s="62"/>
      <c r="G28" s="63"/>
      <c r="H28" s="247">
        <v>168051.94</v>
      </c>
      <c r="I28" s="247"/>
      <c r="J28" s="64">
        <v>168051.94</v>
      </c>
      <c r="K28" s="63"/>
      <c r="L28" s="61"/>
      <c r="M28" s="62"/>
    </row>
    <row r="29" spans="1:14" x14ac:dyDescent="0.25">
      <c r="A29" s="246" t="s">
        <v>178</v>
      </c>
      <c r="B29" s="246"/>
      <c r="C29" s="246"/>
      <c r="D29" s="246"/>
      <c r="E29" s="61"/>
      <c r="F29" s="62"/>
      <c r="G29" s="63"/>
      <c r="H29" s="247">
        <v>3234621.76</v>
      </c>
      <c r="I29" s="247"/>
      <c r="J29" s="64">
        <v>3234621.76</v>
      </c>
      <c r="K29" s="63"/>
      <c r="L29" s="61"/>
      <c r="M29" s="62"/>
    </row>
    <row r="30" spans="1:14" x14ac:dyDescent="0.25">
      <c r="A30" s="246" t="s">
        <v>168</v>
      </c>
      <c r="B30" s="246"/>
      <c r="C30" s="246"/>
      <c r="D30" s="246"/>
      <c r="E30" s="61"/>
      <c r="F30" s="62"/>
      <c r="G30" s="63"/>
      <c r="H30" s="247">
        <v>1251138.75</v>
      </c>
      <c r="I30" s="247"/>
      <c r="J30" s="64">
        <v>1251138.75</v>
      </c>
      <c r="K30" s="63"/>
      <c r="L30" s="61"/>
      <c r="M30" s="62"/>
    </row>
    <row r="31" spans="1:14" x14ac:dyDescent="0.25">
      <c r="A31" s="246" t="s">
        <v>169</v>
      </c>
      <c r="B31" s="246"/>
      <c r="C31" s="246"/>
      <c r="D31" s="246"/>
      <c r="E31" s="61"/>
      <c r="F31" s="62"/>
      <c r="G31" s="63"/>
      <c r="H31" s="247">
        <v>22147.19</v>
      </c>
      <c r="I31" s="247"/>
      <c r="J31" s="64">
        <v>22147.19</v>
      </c>
      <c r="K31" s="63"/>
      <c r="L31" s="61"/>
      <c r="M31" s="62"/>
    </row>
    <row r="32" spans="1:14" x14ac:dyDescent="0.25">
      <c r="A32" s="246" t="s">
        <v>179</v>
      </c>
      <c r="B32" s="246"/>
      <c r="C32" s="246"/>
      <c r="D32" s="246"/>
      <c r="E32" s="61"/>
      <c r="F32" s="62"/>
      <c r="G32" s="63"/>
      <c r="H32" s="247">
        <v>230882</v>
      </c>
      <c r="I32" s="247"/>
      <c r="J32" s="64">
        <v>230882</v>
      </c>
      <c r="K32" s="63"/>
      <c r="L32" s="61"/>
      <c r="M32" s="62"/>
    </row>
    <row r="33" spans="1:13" x14ac:dyDescent="0.25">
      <c r="A33" s="246" t="s">
        <v>180</v>
      </c>
      <c r="B33" s="246"/>
      <c r="C33" s="246"/>
      <c r="D33" s="246"/>
      <c r="E33" s="61"/>
      <c r="F33" s="62"/>
      <c r="G33" s="63"/>
      <c r="H33" s="247">
        <v>21875</v>
      </c>
      <c r="I33" s="247"/>
      <c r="J33" s="64">
        <v>21875</v>
      </c>
      <c r="K33" s="63"/>
      <c r="L33" s="61"/>
      <c r="M33" s="62"/>
    </row>
    <row r="34" spans="1:13" x14ac:dyDescent="0.25">
      <c r="A34" s="246" t="s">
        <v>181</v>
      </c>
      <c r="B34" s="246"/>
      <c r="C34" s="246"/>
      <c r="D34" s="246"/>
      <c r="E34" s="61"/>
      <c r="F34" s="62"/>
      <c r="G34" s="63"/>
      <c r="H34" s="247">
        <v>15000</v>
      </c>
      <c r="I34" s="247"/>
      <c r="J34" s="64">
        <v>15000</v>
      </c>
      <c r="K34" s="63"/>
      <c r="L34" s="61"/>
      <c r="M34" s="62"/>
    </row>
    <row r="35" spans="1:13" x14ac:dyDescent="0.25">
      <c r="A35" s="246" t="s">
        <v>182</v>
      </c>
      <c r="B35" s="246"/>
      <c r="C35" s="246"/>
      <c r="D35" s="246"/>
      <c r="E35" s="61"/>
      <c r="F35" s="62"/>
      <c r="G35" s="63"/>
      <c r="H35" s="247">
        <v>2142.02</v>
      </c>
      <c r="I35" s="247"/>
      <c r="J35" s="64">
        <v>2142.02</v>
      </c>
      <c r="K35" s="63"/>
      <c r="L35" s="61"/>
      <c r="M35" s="62"/>
    </row>
    <row r="36" spans="1:13" x14ac:dyDescent="0.25">
      <c r="A36" s="246" t="s">
        <v>183</v>
      </c>
      <c r="B36" s="246"/>
      <c r="C36" s="246"/>
      <c r="D36" s="246"/>
      <c r="E36" s="61"/>
      <c r="F36" s="62"/>
      <c r="G36" s="63"/>
      <c r="H36" s="247">
        <v>54492</v>
      </c>
      <c r="I36" s="247"/>
      <c r="J36" s="64">
        <v>54492</v>
      </c>
      <c r="K36" s="63"/>
      <c r="L36" s="61"/>
      <c r="M36" s="62"/>
    </row>
    <row r="37" spans="1:13" x14ac:dyDescent="0.25">
      <c r="A37" s="246" t="s">
        <v>184</v>
      </c>
      <c r="B37" s="246"/>
      <c r="C37" s="246"/>
      <c r="D37" s="246"/>
      <c r="E37" s="61"/>
      <c r="F37" s="62"/>
      <c r="G37" s="63"/>
      <c r="H37" s="247">
        <v>7379291.1500000004</v>
      </c>
      <c r="I37" s="247"/>
      <c r="J37" s="64">
        <v>7379291.1500000004</v>
      </c>
      <c r="K37" s="63"/>
      <c r="L37" s="61"/>
      <c r="M37" s="62"/>
    </row>
    <row r="38" spans="1:13" x14ac:dyDescent="0.25">
      <c r="A38" s="248" t="s">
        <v>185</v>
      </c>
      <c r="B38" s="248"/>
      <c r="C38" s="248"/>
      <c r="D38" s="248"/>
      <c r="E38" s="66"/>
      <c r="F38" s="67"/>
      <c r="G38" s="68"/>
      <c r="H38" s="249">
        <v>20864937.02</v>
      </c>
      <c r="I38" s="249"/>
      <c r="J38" s="69">
        <v>20864937.02</v>
      </c>
      <c r="K38" s="68"/>
      <c r="L38" s="66"/>
      <c r="M38" s="67"/>
    </row>
  </sheetData>
  <mergeCells count="69">
    <mergeCell ref="A1:L1"/>
    <mergeCell ref="A2:L2"/>
    <mergeCell ref="A4:C4"/>
    <mergeCell ref="D4:L4"/>
    <mergeCell ref="A9:D9"/>
    <mergeCell ref="E9:G9"/>
    <mergeCell ref="H9:J9"/>
    <mergeCell ref="K9:M9"/>
    <mergeCell ref="A14:D14"/>
    <mergeCell ref="H14:I14"/>
    <mergeCell ref="A10:D10"/>
    <mergeCell ref="E10:F12"/>
    <mergeCell ref="G10:G12"/>
    <mergeCell ref="H10:I12"/>
    <mergeCell ref="L10:M12"/>
    <mergeCell ref="A11:D11"/>
    <mergeCell ref="A12:D12"/>
    <mergeCell ref="A13:D13"/>
    <mergeCell ref="H13:I13"/>
    <mergeCell ref="J10:J12"/>
    <mergeCell ref="K10:K12"/>
    <mergeCell ref="A15:D15"/>
    <mergeCell ref="H15:I15"/>
    <mergeCell ref="A16:D16"/>
    <mergeCell ref="H16:I16"/>
    <mergeCell ref="A17:D17"/>
    <mergeCell ref="H17:I17"/>
    <mergeCell ref="A18:D18"/>
    <mergeCell ref="H18:I18"/>
    <mergeCell ref="A19:D19"/>
    <mergeCell ref="H19:I19"/>
    <mergeCell ref="A20:D20"/>
    <mergeCell ref="H20:I20"/>
    <mergeCell ref="A21:D21"/>
    <mergeCell ref="H21:I21"/>
    <mergeCell ref="A22:D22"/>
    <mergeCell ref="H22:I22"/>
    <mergeCell ref="A23:D23"/>
    <mergeCell ref="H23:I23"/>
    <mergeCell ref="A24:D24"/>
    <mergeCell ref="H24:I24"/>
    <mergeCell ref="A25:D25"/>
    <mergeCell ref="H25:I25"/>
    <mergeCell ref="A26:D26"/>
    <mergeCell ref="H26:I26"/>
    <mergeCell ref="A27:D27"/>
    <mergeCell ref="H27:I27"/>
    <mergeCell ref="A28:D28"/>
    <mergeCell ref="H28:I28"/>
    <mergeCell ref="A29:D29"/>
    <mergeCell ref="H29:I29"/>
    <mergeCell ref="A30:D30"/>
    <mergeCell ref="H30:I30"/>
    <mergeCell ref="A31:D31"/>
    <mergeCell ref="H31:I31"/>
    <mergeCell ref="A32:D32"/>
    <mergeCell ref="H32:I32"/>
    <mergeCell ref="A33:D33"/>
    <mergeCell ref="H33:I33"/>
    <mergeCell ref="A34:D34"/>
    <mergeCell ref="H34:I34"/>
    <mergeCell ref="A35:D35"/>
    <mergeCell ref="H35:I35"/>
    <mergeCell ref="A36:D36"/>
    <mergeCell ref="H36:I36"/>
    <mergeCell ref="A37:D37"/>
    <mergeCell ref="H37:I37"/>
    <mergeCell ref="A38:D38"/>
    <mergeCell ref="H38:I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H15" activeCellId="1" sqref="H24:I25 H15:I16"/>
    </sheetView>
  </sheetViews>
  <sheetFormatPr defaultRowHeight="15" x14ac:dyDescent="0.25"/>
  <cols>
    <col min="10" max="10" width="11.7109375" bestFit="1" customWidth="1"/>
  </cols>
  <sheetData>
    <row r="1" spans="1:13" x14ac:dyDescent="0.25">
      <c r="A1" s="264" t="s">
        <v>149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3" ht="15.75" x14ac:dyDescent="0.25">
      <c r="A2" s="265" t="s">
        <v>186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4" spans="1:13" x14ac:dyDescent="0.25">
      <c r="A4" s="266" t="s">
        <v>151</v>
      </c>
      <c r="B4" s="266"/>
      <c r="C4" s="266"/>
      <c r="D4" s="266" t="s">
        <v>152</v>
      </c>
      <c r="E4" s="266"/>
      <c r="F4" s="266"/>
      <c r="G4" s="266"/>
      <c r="H4" s="266"/>
      <c r="I4" s="266"/>
      <c r="J4" s="266"/>
      <c r="K4" s="266"/>
      <c r="L4" s="266"/>
    </row>
    <row r="7" spans="1:13" x14ac:dyDescent="0.25">
      <c r="A7" s="52" t="s">
        <v>153</v>
      </c>
      <c r="B7" s="52"/>
      <c r="C7" s="52" t="s">
        <v>154</v>
      </c>
      <c r="D7" s="52"/>
      <c r="E7" s="52"/>
    </row>
    <row r="9" spans="1:13" x14ac:dyDescent="0.25">
      <c r="A9" s="259" t="s">
        <v>155</v>
      </c>
      <c r="B9" s="259"/>
      <c r="C9" s="259"/>
      <c r="D9" s="259"/>
      <c r="E9" s="267" t="s">
        <v>156</v>
      </c>
      <c r="F9" s="267"/>
      <c r="G9" s="267"/>
      <c r="H9" s="267" t="s">
        <v>157</v>
      </c>
      <c r="I9" s="267"/>
      <c r="J9" s="267"/>
      <c r="K9" s="267" t="s">
        <v>158</v>
      </c>
      <c r="L9" s="267"/>
      <c r="M9" s="267"/>
    </row>
    <row r="10" spans="1:13" x14ac:dyDescent="0.25">
      <c r="A10" s="259" t="s">
        <v>159</v>
      </c>
      <c r="B10" s="259"/>
      <c r="C10" s="259"/>
      <c r="D10" s="259"/>
      <c r="E10" s="254" t="s">
        <v>160</v>
      </c>
      <c r="F10" s="254"/>
      <c r="G10" s="254" t="s">
        <v>161</v>
      </c>
      <c r="H10" s="254" t="s">
        <v>160</v>
      </c>
      <c r="I10" s="254"/>
      <c r="J10" s="254" t="s">
        <v>161</v>
      </c>
      <c r="K10" s="254" t="s">
        <v>160</v>
      </c>
      <c r="L10" s="254" t="s">
        <v>161</v>
      </c>
      <c r="M10" s="254"/>
    </row>
    <row r="11" spans="1:13" x14ac:dyDescent="0.25">
      <c r="A11" s="259" t="s">
        <v>163</v>
      </c>
      <c r="B11" s="259"/>
      <c r="C11" s="259"/>
      <c r="D11" s="259"/>
      <c r="E11" s="257"/>
      <c r="F11" s="258"/>
      <c r="G11" s="263"/>
      <c r="H11" s="257"/>
      <c r="I11" s="258"/>
      <c r="J11" s="263"/>
      <c r="K11" s="263"/>
      <c r="L11" s="257"/>
      <c r="M11" s="258"/>
    </row>
    <row r="12" spans="1:13" x14ac:dyDescent="0.25">
      <c r="A12" s="260" t="s">
        <v>187</v>
      </c>
      <c r="B12" s="260"/>
      <c r="C12" s="260"/>
      <c r="D12" s="260"/>
      <c r="E12" s="53"/>
      <c r="F12" s="54"/>
      <c r="G12" s="55"/>
      <c r="H12" s="261">
        <v>2410636.15</v>
      </c>
      <c r="I12" s="261"/>
      <c r="J12" s="56">
        <v>2410636.15</v>
      </c>
      <c r="K12" s="55"/>
      <c r="L12" s="53"/>
      <c r="M12" s="54"/>
    </row>
    <row r="13" spans="1:13" x14ac:dyDescent="0.25">
      <c r="A13" s="251" t="s">
        <v>165</v>
      </c>
      <c r="B13" s="251"/>
      <c r="C13" s="251"/>
      <c r="D13" s="251"/>
      <c r="E13" s="57"/>
      <c r="F13" s="58"/>
      <c r="G13" s="59"/>
      <c r="H13" s="252">
        <v>67736.990000000005</v>
      </c>
      <c r="I13" s="252"/>
      <c r="J13" s="60">
        <v>67736.990000000005</v>
      </c>
      <c r="K13" s="59"/>
      <c r="L13" s="57"/>
      <c r="M13" s="58"/>
    </row>
    <row r="14" spans="1:13" x14ac:dyDescent="0.25">
      <c r="A14" s="253" t="s">
        <v>188</v>
      </c>
      <c r="B14" s="253"/>
      <c r="C14" s="253"/>
      <c r="D14" s="253"/>
      <c r="E14" s="61"/>
      <c r="F14" s="62"/>
      <c r="G14" s="63"/>
      <c r="H14" s="247">
        <v>51945.54</v>
      </c>
      <c r="I14" s="247"/>
      <c r="J14" s="64">
        <v>51945.54</v>
      </c>
      <c r="K14" s="63"/>
      <c r="L14" s="61"/>
      <c r="M14" s="62"/>
    </row>
    <row r="15" spans="1:13" x14ac:dyDescent="0.25">
      <c r="A15" s="253" t="s">
        <v>189</v>
      </c>
      <c r="B15" s="253"/>
      <c r="C15" s="253"/>
      <c r="D15" s="253"/>
      <c r="E15" s="61"/>
      <c r="F15" s="62"/>
      <c r="G15" s="63"/>
      <c r="H15" s="247">
        <v>15583.66</v>
      </c>
      <c r="I15" s="247"/>
      <c r="J15" s="64">
        <v>15583.66</v>
      </c>
      <c r="K15" s="63"/>
      <c r="L15" s="61"/>
      <c r="M15" s="62"/>
    </row>
    <row r="16" spans="1:13" x14ac:dyDescent="0.25">
      <c r="A16" s="253" t="s">
        <v>190</v>
      </c>
      <c r="B16" s="253"/>
      <c r="C16" s="253"/>
      <c r="D16" s="253"/>
      <c r="E16" s="61"/>
      <c r="F16" s="62"/>
      <c r="G16" s="63"/>
      <c r="H16" s="250">
        <v>207.79</v>
      </c>
      <c r="I16" s="250"/>
      <c r="J16" s="65">
        <v>207.79</v>
      </c>
      <c r="K16" s="63"/>
      <c r="L16" s="61"/>
      <c r="M16" s="62"/>
    </row>
    <row r="17" spans="1:13" x14ac:dyDescent="0.25">
      <c r="A17" s="251" t="s">
        <v>170</v>
      </c>
      <c r="B17" s="251"/>
      <c r="C17" s="251"/>
      <c r="D17" s="251"/>
      <c r="E17" s="57"/>
      <c r="F17" s="58"/>
      <c r="G17" s="59"/>
      <c r="H17" s="252">
        <v>2342899.16</v>
      </c>
      <c r="I17" s="252"/>
      <c r="J17" s="60">
        <v>2342899.16</v>
      </c>
      <c r="K17" s="59"/>
      <c r="L17" s="57"/>
      <c r="M17" s="58"/>
    </row>
    <row r="18" spans="1:13" x14ac:dyDescent="0.25">
      <c r="A18" s="253" t="s">
        <v>191</v>
      </c>
      <c r="B18" s="253"/>
      <c r="C18" s="253"/>
      <c r="D18" s="253"/>
      <c r="E18" s="61"/>
      <c r="F18" s="62"/>
      <c r="G18" s="63"/>
      <c r="H18" s="247">
        <v>115153.63</v>
      </c>
      <c r="I18" s="247"/>
      <c r="J18" s="64">
        <v>115153.63</v>
      </c>
      <c r="K18" s="63"/>
      <c r="L18" s="61"/>
      <c r="M18" s="62"/>
    </row>
    <row r="19" spans="1:13" x14ac:dyDescent="0.25">
      <c r="A19" s="253" t="s">
        <v>188</v>
      </c>
      <c r="B19" s="253"/>
      <c r="C19" s="253"/>
      <c r="D19" s="253"/>
      <c r="E19" s="61"/>
      <c r="F19" s="62"/>
      <c r="G19" s="63"/>
      <c r="H19" s="247">
        <v>1454292.39</v>
      </c>
      <c r="I19" s="247"/>
      <c r="J19" s="64">
        <v>1454292.39</v>
      </c>
      <c r="K19" s="63"/>
      <c r="L19" s="61"/>
      <c r="M19" s="62"/>
    </row>
    <row r="20" spans="1:13" x14ac:dyDescent="0.25">
      <c r="A20" s="253" t="s">
        <v>192</v>
      </c>
      <c r="B20" s="253"/>
      <c r="C20" s="253"/>
      <c r="D20" s="253"/>
      <c r="E20" s="61"/>
      <c r="F20" s="62"/>
      <c r="G20" s="63"/>
      <c r="H20" s="247">
        <v>233333.33</v>
      </c>
      <c r="I20" s="247"/>
      <c r="J20" s="64">
        <v>233333.33</v>
      </c>
      <c r="K20" s="63"/>
      <c r="L20" s="61"/>
      <c r="M20" s="62"/>
    </row>
    <row r="21" spans="1:13" x14ac:dyDescent="0.25">
      <c r="A21" s="253" t="s">
        <v>193</v>
      </c>
      <c r="B21" s="253"/>
      <c r="C21" s="253"/>
      <c r="D21" s="253"/>
      <c r="E21" s="61"/>
      <c r="F21" s="62"/>
      <c r="G21" s="63"/>
      <c r="H21" s="247">
        <v>87641.13</v>
      </c>
      <c r="I21" s="247"/>
      <c r="J21" s="64">
        <v>87641.13</v>
      </c>
      <c r="K21" s="63"/>
      <c r="L21" s="61"/>
      <c r="M21" s="62"/>
    </row>
    <row r="22" spans="1:13" x14ac:dyDescent="0.25">
      <c r="A22" s="253" t="s">
        <v>194</v>
      </c>
      <c r="B22" s="253"/>
      <c r="C22" s="253"/>
      <c r="D22" s="253"/>
      <c r="E22" s="61"/>
      <c r="F22" s="62"/>
      <c r="G22" s="63"/>
      <c r="H22" s="247">
        <v>2459.17</v>
      </c>
      <c r="I22" s="247"/>
      <c r="J22" s="64">
        <v>2459.17</v>
      </c>
      <c r="K22" s="63"/>
      <c r="L22" s="61"/>
      <c r="M22" s="62"/>
    </row>
    <row r="23" spans="1:13" x14ac:dyDescent="0.25">
      <c r="A23" s="253" t="s">
        <v>195</v>
      </c>
      <c r="B23" s="253"/>
      <c r="C23" s="253"/>
      <c r="D23" s="253"/>
      <c r="E23" s="61"/>
      <c r="F23" s="62"/>
      <c r="G23" s="63"/>
      <c r="H23" s="247">
        <v>49100</v>
      </c>
      <c r="I23" s="247"/>
      <c r="J23" s="64">
        <v>49100</v>
      </c>
      <c r="K23" s="63"/>
      <c r="L23" s="61"/>
      <c r="M23" s="62"/>
    </row>
    <row r="24" spans="1:13" x14ac:dyDescent="0.25">
      <c r="A24" s="253" t="s">
        <v>189</v>
      </c>
      <c r="B24" s="253"/>
      <c r="C24" s="253"/>
      <c r="D24" s="253"/>
      <c r="E24" s="61"/>
      <c r="F24" s="62"/>
      <c r="G24" s="63"/>
      <c r="H24" s="247">
        <v>333389.64</v>
      </c>
      <c r="I24" s="247"/>
      <c r="J24" s="64">
        <v>333389.64</v>
      </c>
      <c r="K24" s="63"/>
      <c r="L24" s="61"/>
      <c r="M24" s="62"/>
    </row>
    <row r="25" spans="1:13" x14ac:dyDescent="0.25">
      <c r="A25" s="253" t="s">
        <v>190</v>
      </c>
      <c r="B25" s="253"/>
      <c r="C25" s="253"/>
      <c r="D25" s="253"/>
      <c r="E25" s="61"/>
      <c r="F25" s="62"/>
      <c r="G25" s="63"/>
      <c r="H25" s="247">
        <v>5796.97</v>
      </c>
      <c r="I25" s="247"/>
      <c r="J25" s="64">
        <v>5796.97</v>
      </c>
      <c r="K25" s="63"/>
      <c r="L25" s="61"/>
      <c r="M25" s="62"/>
    </row>
    <row r="26" spans="1:13" x14ac:dyDescent="0.25">
      <c r="A26" s="253" t="s">
        <v>37</v>
      </c>
      <c r="B26" s="253"/>
      <c r="C26" s="253"/>
      <c r="D26" s="253"/>
      <c r="E26" s="61"/>
      <c r="F26" s="62"/>
      <c r="G26" s="63"/>
      <c r="H26" s="247">
        <v>43342.9</v>
      </c>
      <c r="I26" s="247"/>
      <c r="J26" s="64">
        <v>43342.9</v>
      </c>
      <c r="K26" s="63"/>
      <c r="L26" s="61"/>
      <c r="M26" s="62"/>
    </row>
    <row r="27" spans="1:13" x14ac:dyDescent="0.25">
      <c r="A27" s="253" t="s">
        <v>196</v>
      </c>
      <c r="B27" s="253"/>
      <c r="C27" s="253"/>
      <c r="D27" s="253"/>
      <c r="E27" s="61"/>
      <c r="F27" s="62"/>
      <c r="G27" s="63"/>
      <c r="H27" s="247">
        <v>18390</v>
      </c>
      <c r="I27" s="247"/>
      <c r="J27" s="64">
        <v>18390</v>
      </c>
      <c r="K27" s="63"/>
      <c r="L27" s="61"/>
      <c r="M27" s="62"/>
    </row>
    <row r="28" spans="1:13" x14ac:dyDescent="0.25">
      <c r="A28" s="248" t="s">
        <v>185</v>
      </c>
      <c r="B28" s="248"/>
      <c r="C28" s="248"/>
      <c r="D28" s="248"/>
      <c r="E28" s="66"/>
      <c r="F28" s="67"/>
      <c r="G28" s="68"/>
      <c r="H28" s="249">
        <v>2410636.15</v>
      </c>
      <c r="I28" s="249"/>
      <c r="J28" s="69">
        <v>2410636.15</v>
      </c>
      <c r="K28" s="68"/>
      <c r="L28" s="66"/>
      <c r="M28" s="67"/>
    </row>
  </sheetData>
  <mergeCells count="50">
    <mergeCell ref="A1:L1"/>
    <mergeCell ref="A2:L2"/>
    <mergeCell ref="A4:C4"/>
    <mergeCell ref="D4:L4"/>
    <mergeCell ref="A9:D9"/>
    <mergeCell ref="E9:G9"/>
    <mergeCell ref="H9:J9"/>
    <mergeCell ref="K9:M9"/>
    <mergeCell ref="L10:M11"/>
    <mergeCell ref="A11:D11"/>
    <mergeCell ref="A12:D12"/>
    <mergeCell ref="H12:I12"/>
    <mergeCell ref="A13:D13"/>
    <mergeCell ref="H13:I13"/>
    <mergeCell ref="A10:D10"/>
    <mergeCell ref="E10:F11"/>
    <mergeCell ref="G10:G11"/>
    <mergeCell ref="H10:I11"/>
    <mergeCell ref="J10:J11"/>
    <mergeCell ref="K10:K11"/>
    <mergeCell ref="A14:D14"/>
    <mergeCell ref="H14:I14"/>
    <mergeCell ref="A15:D15"/>
    <mergeCell ref="H15:I15"/>
    <mergeCell ref="A16:D16"/>
    <mergeCell ref="H16:I16"/>
    <mergeCell ref="A17:D17"/>
    <mergeCell ref="H17:I17"/>
    <mergeCell ref="A18:D18"/>
    <mergeCell ref="H18:I18"/>
    <mergeCell ref="A19:D19"/>
    <mergeCell ref="H19:I19"/>
    <mergeCell ref="A20:D20"/>
    <mergeCell ref="H20:I20"/>
    <mergeCell ref="A21:D21"/>
    <mergeCell ref="H21:I21"/>
    <mergeCell ref="A22:D22"/>
    <mergeCell ref="H22:I22"/>
    <mergeCell ref="A23:D23"/>
    <mergeCell ref="H23:I23"/>
    <mergeCell ref="A24:D24"/>
    <mergeCell ref="H24:I24"/>
    <mergeCell ref="A25:D25"/>
    <mergeCell ref="H25:I25"/>
    <mergeCell ref="A26:D26"/>
    <mergeCell ref="H26:I26"/>
    <mergeCell ref="A27:D27"/>
    <mergeCell ref="H27:I27"/>
    <mergeCell ref="A28:D28"/>
    <mergeCell ref="H28:I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65"/>
  <sheetViews>
    <sheetView workbookViewId="0">
      <selection activeCell="J67" sqref="J67"/>
    </sheetView>
  </sheetViews>
  <sheetFormatPr defaultRowHeight="15" x14ac:dyDescent="0.25"/>
  <cols>
    <col min="5" max="5" width="9.140625" customWidth="1"/>
    <col min="7" max="7" width="11.7109375" bestFit="1" customWidth="1"/>
    <col min="8" max="8" width="12.7109375" bestFit="1" customWidth="1"/>
    <col min="9" max="9" width="12.42578125" bestFit="1" customWidth="1"/>
    <col min="10" max="10" width="12.7109375" bestFit="1" customWidth="1"/>
    <col min="11" max="11" width="11.7109375" bestFit="1" customWidth="1"/>
    <col min="14" max="14" width="19.42578125" customWidth="1"/>
    <col min="20" max="20" width="80.85546875" bestFit="1" customWidth="1"/>
  </cols>
  <sheetData>
    <row r="1" spans="1:20" x14ac:dyDescent="0.25">
      <c r="A1" s="264" t="s">
        <v>149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20" ht="15.75" x14ac:dyDescent="0.25">
      <c r="A2" s="265" t="s">
        <v>197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4" spans="1:20" x14ac:dyDescent="0.25">
      <c r="A4" s="266" t="s">
        <v>151</v>
      </c>
      <c r="B4" s="266"/>
      <c r="C4" s="266"/>
      <c r="D4" s="266" t="s">
        <v>152</v>
      </c>
      <c r="E4" s="266"/>
      <c r="F4" s="266"/>
      <c r="G4" s="266"/>
      <c r="H4" s="266"/>
      <c r="I4" s="266"/>
      <c r="J4" s="266"/>
      <c r="K4" s="266"/>
      <c r="L4" s="266"/>
    </row>
    <row r="6" spans="1:20" x14ac:dyDescent="0.25">
      <c r="T6" t="s">
        <v>37</v>
      </c>
    </row>
    <row r="7" spans="1:20" x14ac:dyDescent="0.25">
      <c r="A7" s="52" t="s">
        <v>153</v>
      </c>
      <c r="B7" s="52"/>
      <c r="C7" s="52" t="s">
        <v>154</v>
      </c>
      <c r="D7" s="52"/>
      <c r="E7" s="52"/>
      <c r="T7" t="s">
        <v>3</v>
      </c>
    </row>
    <row r="8" spans="1:20" x14ac:dyDescent="0.25">
      <c r="T8" t="s">
        <v>4</v>
      </c>
    </row>
    <row r="9" spans="1:20" x14ac:dyDescent="0.25">
      <c r="A9" s="259" t="s">
        <v>155</v>
      </c>
      <c r="B9" s="259"/>
      <c r="C9" s="259"/>
      <c r="D9" s="259"/>
      <c r="E9" s="267" t="s">
        <v>156</v>
      </c>
      <c r="F9" s="267"/>
      <c r="G9" s="267"/>
      <c r="H9" s="267" t="s">
        <v>157</v>
      </c>
      <c r="I9" s="267"/>
      <c r="J9" s="267"/>
      <c r="K9" s="267" t="s">
        <v>158</v>
      </c>
      <c r="L9" s="267"/>
      <c r="M9" s="267"/>
      <c r="T9" t="s">
        <v>5</v>
      </c>
    </row>
    <row r="10" spans="1:20" x14ac:dyDescent="0.25">
      <c r="A10" s="259" t="s">
        <v>159</v>
      </c>
      <c r="B10" s="259"/>
      <c r="C10" s="259"/>
      <c r="D10" s="259"/>
      <c r="E10" s="254" t="s">
        <v>160</v>
      </c>
      <c r="F10" s="254"/>
      <c r="G10" s="254" t="s">
        <v>161</v>
      </c>
      <c r="H10" s="254" t="s">
        <v>160</v>
      </c>
      <c r="I10" s="254"/>
      <c r="J10" s="254" t="s">
        <v>161</v>
      </c>
      <c r="K10" s="254" t="s">
        <v>160</v>
      </c>
      <c r="L10" s="254" t="s">
        <v>161</v>
      </c>
      <c r="M10" s="254"/>
      <c r="T10" t="s">
        <v>38</v>
      </c>
    </row>
    <row r="11" spans="1:20" x14ac:dyDescent="0.25">
      <c r="A11" s="259" t="s">
        <v>198</v>
      </c>
      <c r="B11" s="259"/>
      <c r="C11" s="259"/>
      <c r="D11" s="259"/>
      <c r="E11" s="257"/>
      <c r="F11" s="258"/>
      <c r="G11" s="263"/>
      <c r="H11" s="257"/>
      <c r="I11" s="258"/>
      <c r="J11" s="263"/>
      <c r="K11" s="263"/>
      <c r="L11" s="257"/>
      <c r="M11" s="258"/>
      <c r="T11" t="s">
        <v>7</v>
      </c>
    </row>
    <row r="12" spans="1:20" x14ac:dyDescent="0.25">
      <c r="A12" s="260" t="s">
        <v>199</v>
      </c>
      <c r="B12" s="260"/>
      <c r="C12" s="260"/>
      <c r="D12" s="260"/>
      <c r="E12" s="53"/>
      <c r="F12" s="54"/>
      <c r="G12" s="56">
        <v>4896744.75</v>
      </c>
      <c r="H12" s="261">
        <v>24634008.690000001</v>
      </c>
      <c r="I12" s="261"/>
      <c r="J12" s="56">
        <v>18464721.420000002</v>
      </c>
      <c r="K12" s="56">
        <v>1272542.52</v>
      </c>
      <c r="L12" s="53"/>
      <c r="M12" s="54"/>
      <c r="T12" t="s">
        <v>8</v>
      </c>
    </row>
    <row r="13" spans="1:20" x14ac:dyDescent="0.25">
      <c r="A13" s="251" t="s">
        <v>170</v>
      </c>
      <c r="B13" s="251"/>
      <c r="C13" s="251"/>
      <c r="D13" s="251"/>
      <c r="E13" s="57"/>
      <c r="F13" s="58"/>
      <c r="G13" s="60">
        <v>4896744.75</v>
      </c>
      <c r="H13" s="252">
        <v>24634008.690000001</v>
      </c>
      <c r="I13" s="252"/>
      <c r="J13" s="60">
        <v>18464721.420000002</v>
      </c>
      <c r="K13" s="60">
        <v>1272542.52</v>
      </c>
      <c r="L13" s="57"/>
      <c r="M13" s="58"/>
      <c r="T13" t="s">
        <v>9</v>
      </c>
    </row>
    <row r="14" spans="1:20" hidden="1" x14ac:dyDescent="0.25">
      <c r="A14" s="253" t="s">
        <v>200</v>
      </c>
      <c r="B14" s="253"/>
      <c r="C14" s="253"/>
      <c r="D14" s="253"/>
      <c r="E14" s="61"/>
      <c r="F14" s="62"/>
      <c r="G14" s="63"/>
      <c r="H14" s="169">
        <v>49500</v>
      </c>
      <c r="I14" s="170"/>
      <c r="J14" s="64">
        <v>49500</v>
      </c>
      <c r="K14" s="63"/>
      <c r="L14" s="61"/>
      <c r="M14" s="62"/>
      <c r="N14" t="str">
        <f>T11</f>
        <v>Расходы на командировки и представительские услуги</v>
      </c>
      <c r="T14" t="s">
        <v>39</v>
      </c>
    </row>
    <row r="15" spans="1:20" hidden="1" x14ac:dyDescent="0.25">
      <c r="A15" s="253" t="s">
        <v>201</v>
      </c>
      <c r="B15" s="253"/>
      <c r="C15" s="253"/>
      <c r="D15" s="253"/>
      <c r="E15" s="61"/>
      <c r="F15" s="62"/>
      <c r="G15" s="63"/>
      <c r="H15" s="169">
        <v>5949</v>
      </c>
      <c r="I15" s="170"/>
      <c r="J15" s="64">
        <v>5949</v>
      </c>
      <c r="K15" s="63"/>
      <c r="L15" s="61"/>
      <c r="M15" s="62"/>
      <c r="N15" t="s">
        <v>656</v>
      </c>
      <c r="T15" t="s">
        <v>40</v>
      </c>
    </row>
    <row r="16" spans="1:20" hidden="1" x14ac:dyDescent="0.25">
      <c r="A16" s="253" t="s">
        <v>202</v>
      </c>
      <c r="B16" s="253"/>
      <c r="C16" s="253"/>
      <c r="D16" s="253"/>
      <c r="E16" s="61"/>
      <c r="F16" s="62"/>
      <c r="G16" s="63"/>
      <c r="H16" s="169">
        <v>28740</v>
      </c>
      <c r="I16" s="170"/>
      <c r="J16" s="64">
        <v>28740</v>
      </c>
      <c r="K16" s="63"/>
      <c r="L16" s="61"/>
      <c r="M16" s="62"/>
      <c r="N16" t="str">
        <f>N15</f>
        <v>Мат</v>
      </c>
      <c r="T16" t="s">
        <v>41</v>
      </c>
    </row>
    <row r="17" spans="1:20" hidden="1" x14ac:dyDescent="0.25">
      <c r="A17" s="253" t="s">
        <v>203</v>
      </c>
      <c r="B17" s="253"/>
      <c r="C17" s="253"/>
      <c r="D17" s="253"/>
      <c r="E17" s="61"/>
      <c r="F17" s="62"/>
      <c r="G17" s="64">
        <v>1560</v>
      </c>
      <c r="H17" s="61"/>
      <c r="I17" s="62"/>
      <c r="J17" s="63"/>
      <c r="K17" s="63"/>
      <c r="L17" s="247">
        <v>1560</v>
      </c>
      <c r="M17" s="247"/>
      <c r="N17" t="str">
        <f>N16</f>
        <v>Мат</v>
      </c>
      <c r="T17" t="s">
        <v>42</v>
      </c>
    </row>
    <row r="18" spans="1:20" s="156" customFormat="1" hidden="1" x14ac:dyDescent="0.25">
      <c r="A18" s="268" t="s">
        <v>204</v>
      </c>
      <c r="B18" s="268"/>
      <c r="C18" s="268"/>
      <c r="D18" s="268"/>
      <c r="E18" s="152"/>
      <c r="F18" s="153"/>
      <c r="G18" s="154">
        <v>7000</v>
      </c>
      <c r="H18" s="171">
        <v>70000</v>
      </c>
      <c r="I18" s="172"/>
      <c r="J18" s="154">
        <v>70000</v>
      </c>
      <c r="K18" s="155"/>
      <c r="L18" s="271">
        <v>7000</v>
      </c>
      <c r="M18" s="271"/>
      <c r="N18" s="156" t="str">
        <f>T31</f>
        <v>Сайт</v>
      </c>
      <c r="T18" s="156" t="s">
        <v>43</v>
      </c>
    </row>
    <row r="19" spans="1:20" s="156" customFormat="1" x14ac:dyDescent="0.25">
      <c r="A19" s="268" t="s">
        <v>205</v>
      </c>
      <c r="B19" s="268"/>
      <c r="C19" s="268"/>
      <c r="D19" s="268"/>
      <c r="E19" s="152"/>
      <c r="F19" s="153"/>
      <c r="G19" s="154">
        <v>4000</v>
      </c>
      <c r="H19" s="171">
        <v>36000</v>
      </c>
      <c r="I19" s="172"/>
      <c r="J19" s="154">
        <v>45000</v>
      </c>
      <c r="K19" s="155"/>
      <c r="L19" s="271">
        <v>13000</v>
      </c>
      <c r="M19" s="271"/>
      <c r="N19" s="156" t="str">
        <f>T8</f>
        <v>Расходы на аудиторские и консультационные услуги</v>
      </c>
      <c r="T19" s="156" t="s">
        <v>44</v>
      </c>
    </row>
    <row r="20" spans="1:20" s="156" customFormat="1" hidden="1" x14ac:dyDescent="0.25">
      <c r="A20" s="268" t="s">
        <v>206</v>
      </c>
      <c r="B20" s="268"/>
      <c r="C20" s="268"/>
      <c r="D20" s="268"/>
      <c r="E20" s="273">
        <v>0.02</v>
      </c>
      <c r="F20" s="273"/>
      <c r="G20" s="155"/>
      <c r="H20" s="152"/>
      <c r="I20" s="153"/>
      <c r="J20" s="155"/>
      <c r="K20" s="157">
        <v>0.02</v>
      </c>
      <c r="L20" s="152"/>
      <c r="M20" s="153"/>
      <c r="N20" s="156" t="str">
        <f>N17</f>
        <v>Мат</v>
      </c>
      <c r="T20" s="156" t="s">
        <v>45</v>
      </c>
    </row>
    <row r="21" spans="1:20" hidden="1" x14ac:dyDescent="0.25">
      <c r="A21" s="253" t="s">
        <v>207</v>
      </c>
      <c r="B21" s="253"/>
      <c r="C21" s="253"/>
      <c r="D21" s="253"/>
      <c r="E21" s="61"/>
      <c r="F21" s="62"/>
      <c r="G21" s="63"/>
      <c r="H21" s="173">
        <v>684</v>
      </c>
      <c r="I21" s="174"/>
      <c r="J21" s="65">
        <v>684</v>
      </c>
      <c r="K21" s="63"/>
      <c r="L21" s="61"/>
      <c r="M21" s="62"/>
      <c r="N21" t="str">
        <f>N17</f>
        <v>Мат</v>
      </c>
      <c r="T21" t="s">
        <v>46</v>
      </c>
    </row>
    <row r="22" spans="1:20" hidden="1" x14ac:dyDescent="0.25">
      <c r="A22" s="253" t="s">
        <v>208</v>
      </c>
      <c r="B22" s="253"/>
      <c r="C22" s="253"/>
      <c r="D22" s="253"/>
      <c r="E22" s="61"/>
      <c r="F22" s="62"/>
      <c r="G22" s="64">
        <v>4180.97</v>
      </c>
      <c r="H22" s="169">
        <v>32873.120000000003</v>
      </c>
      <c r="I22" s="170"/>
      <c r="J22" s="64">
        <v>32534.17</v>
      </c>
      <c r="K22" s="63"/>
      <c r="L22" s="247">
        <v>3842.02</v>
      </c>
      <c r="M22" s="247"/>
      <c r="N22" t="str">
        <f>T6</f>
        <v>Услуги связи</v>
      </c>
      <c r="T22" t="s">
        <v>47</v>
      </c>
    </row>
    <row r="23" spans="1:20" hidden="1" x14ac:dyDescent="0.25">
      <c r="A23" s="253" t="s">
        <v>209</v>
      </c>
      <c r="B23" s="253"/>
      <c r="C23" s="253"/>
      <c r="D23" s="253"/>
      <c r="E23" s="61"/>
      <c r="F23" s="62"/>
      <c r="G23" s="65">
        <v>321.07</v>
      </c>
      <c r="H23" s="169">
        <v>3195.4</v>
      </c>
      <c r="I23" s="170"/>
      <c r="J23" s="64">
        <v>3193.7</v>
      </c>
      <c r="K23" s="63"/>
      <c r="L23" s="250">
        <v>319.37</v>
      </c>
      <c r="M23" s="250"/>
      <c r="N23" t="str">
        <f>T28</f>
        <v>Затраты на коммунальные услуги</v>
      </c>
      <c r="T23" t="s">
        <v>48</v>
      </c>
    </row>
    <row r="24" spans="1:20" s="163" customFormat="1" hidden="1" x14ac:dyDescent="0.25">
      <c r="A24" s="268" t="s">
        <v>210</v>
      </c>
      <c r="B24" s="268"/>
      <c r="C24" s="268"/>
      <c r="D24" s="268"/>
      <c r="E24" s="159"/>
      <c r="F24" s="160"/>
      <c r="G24" s="161">
        <v>5020</v>
      </c>
      <c r="H24" s="175">
        <v>5020</v>
      </c>
      <c r="I24" s="176"/>
      <c r="J24" s="162"/>
      <c r="K24" s="162"/>
      <c r="L24" s="159"/>
      <c r="M24" s="160"/>
      <c r="N24" s="163" t="str">
        <f>T9</f>
        <v>Транспортные услуги</v>
      </c>
      <c r="T24" s="163" t="s">
        <v>10</v>
      </c>
    </row>
    <row r="25" spans="1:20" hidden="1" x14ac:dyDescent="0.25">
      <c r="A25" s="253" t="s">
        <v>211</v>
      </c>
      <c r="B25" s="253"/>
      <c r="C25" s="253"/>
      <c r="D25" s="253"/>
      <c r="E25" s="61"/>
      <c r="F25" s="62"/>
      <c r="G25" s="64">
        <v>1500</v>
      </c>
      <c r="H25" s="169">
        <v>15000</v>
      </c>
      <c r="I25" s="170"/>
      <c r="J25" s="64">
        <v>15000</v>
      </c>
      <c r="K25" s="63"/>
      <c r="L25" s="247">
        <v>1500</v>
      </c>
      <c r="M25" s="247"/>
      <c r="N25" t="str">
        <f>T29</f>
        <v>Охрана, пожарная безопасность</v>
      </c>
      <c r="T25" t="s">
        <v>6</v>
      </c>
    </row>
    <row r="26" spans="1:20" hidden="1" x14ac:dyDescent="0.25">
      <c r="A26" s="253" t="s">
        <v>212</v>
      </c>
      <c r="B26" s="253"/>
      <c r="C26" s="253"/>
      <c r="D26" s="253"/>
      <c r="E26" s="61"/>
      <c r="F26" s="62"/>
      <c r="G26" s="63"/>
      <c r="H26" s="169">
        <v>26074</v>
      </c>
      <c r="I26" s="170"/>
      <c r="J26" s="64">
        <v>26074</v>
      </c>
      <c r="K26" s="63"/>
      <c r="L26" s="61"/>
      <c r="M26" s="62"/>
      <c r="N26" t="str">
        <f>T30</f>
        <v>Программное обеспечение</v>
      </c>
      <c r="T26" t="s">
        <v>11</v>
      </c>
    </row>
    <row r="27" spans="1:20" s="156" customFormat="1" hidden="1" x14ac:dyDescent="0.25">
      <c r="A27" s="268" t="s">
        <v>213</v>
      </c>
      <c r="B27" s="268"/>
      <c r="C27" s="268"/>
      <c r="D27" s="268"/>
      <c r="E27" s="273">
        <v>58</v>
      </c>
      <c r="F27" s="273"/>
      <c r="G27" s="155"/>
      <c r="H27" s="171">
        <v>5951</v>
      </c>
      <c r="I27" s="172"/>
      <c r="J27" s="154">
        <v>5902</v>
      </c>
      <c r="K27" s="157">
        <v>107</v>
      </c>
      <c r="L27" s="152"/>
      <c r="M27" s="153"/>
      <c r="N27" s="156" t="str">
        <f>T13</f>
        <v>Расходы на обеспечение нормальных условий труда и мер по технике безопасности</v>
      </c>
      <c r="T27" s="156" t="s">
        <v>49</v>
      </c>
    </row>
    <row r="28" spans="1:20" s="73" customFormat="1" hidden="1" x14ac:dyDescent="0.25">
      <c r="A28" s="269" t="s">
        <v>214</v>
      </c>
      <c r="B28" s="269"/>
      <c r="C28" s="269"/>
      <c r="D28" s="269"/>
      <c r="E28" s="145"/>
      <c r="F28" s="146"/>
      <c r="G28" s="147">
        <v>2180027.66</v>
      </c>
      <c r="H28" s="177">
        <v>8596790.0999999996</v>
      </c>
      <c r="I28" s="178"/>
      <c r="J28" s="147">
        <v>4695962.4400000004</v>
      </c>
      <c r="K28" s="147">
        <v>1720800</v>
      </c>
      <c r="L28" s="145"/>
      <c r="M28" s="146"/>
      <c r="N28" s="73" t="s">
        <v>659</v>
      </c>
      <c r="T28" s="73" t="s">
        <v>12</v>
      </c>
    </row>
    <row r="29" spans="1:20" s="156" customFormat="1" hidden="1" x14ac:dyDescent="0.25">
      <c r="A29" s="268" t="s">
        <v>215</v>
      </c>
      <c r="B29" s="268"/>
      <c r="C29" s="268"/>
      <c r="D29" s="268"/>
      <c r="E29" s="152"/>
      <c r="F29" s="153"/>
      <c r="G29" s="155"/>
      <c r="H29" s="171">
        <v>22400.16</v>
      </c>
      <c r="I29" s="172"/>
      <c r="J29" s="154">
        <v>22400.16</v>
      </c>
      <c r="K29" s="155"/>
      <c r="L29" s="152"/>
      <c r="M29" s="153"/>
      <c r="N29" s="156" t="str">
        <f>N30</f>
        <v>Мат</v>
      </c>
      <c r="T29" s="156" t="s">
        <v>657</v>
      </c>
    </row>
    <row r="30" spans="1:20" hidden="1" x14ac:dyDescent="0.25">
      <c r="A30" s="253" t="s">
        <v>216</v>
      </c>
      <c r="B30" s="253"/>
      <c r="C30" s="253"/>
      <c r="D30" s="253"/>
      <c r="E30" s="61"/>
      <c r="F30" s="62"/>
      <c r="G30" s="63"/>
      <c r="H30" s="169">
        <v>243569.56</v>
      </c>
      <c r="I30" s="170"/>
      <c r="J30" s="64">
        <v>243569.56</v>
      </c>
      <c r="K30" s="63"/>
      <c r="L30" s="61"/>
      <c r="M30" s="62"/>
      <c r="N30" t="str">
        <f>N17</f>
        <v>Мат</v>
      </c>
      <c r="T30" t="s">
        <v>658</v>
      </c>
    </row>
    <row r="31" spans="1:20" hidden="1" x14ac:dyDescent="0.25">
      <c r="A31" s="253" t="s">
        <v>217</v>
      </c>
      <c r="B31" s="253"/>
      <c r="C31" s="253"/>
      <c r="D31" s="253"/>
      <c r="E31" s="61"/>
      <c r="F31" s="62"/>
      <c r="G31" s="63"/>
      <c r="H31" s="169">
        <v>19800</v>
      </c>
      <c r="I31" s="170"/>
      <c r="J31" s="64">
        <v>19800</v>
      </c>
      <c r="K31" s="63"/>
      <c r="L31" s="61"/>
      <c r="M31" s="62"/>
      <c r="N31" t="str">
        <f>N26</f>
        <v>Программное обеспечение</v>
      </c>
      <c r="T31" t="s">
        <v>660</v>
      </c>
    </row>
    <row r="32" spans="1:20" s="156" customFormat="1" x14ac:dyDescent="0.25">
      <c r="A32" s="268" t="s">
        <v>218</v>
      </c>
      <c r="B32" s="268"/>
      <c r="C32" s="268"/>
      <c r="D32" s="268"/>
      <c r="E32" s="152"/>
      <c r="F32" s="153"/>
      <c r="G32" s="155"/>
      <c r="H32" s="171">
        <v>43445.34</v>
      </c>
      <c r="I32" s="172"/>
      <c r="J32" s="154">
        <v>43445.34</v>
      </c>
      <c r="K32" s="155"/>
      <c r="L32" s="152"/>
      <c r="M32" s="153"/>
      <c r="N32" s="156" t="str">
        <f>T8</f>
        <v>Расходы на аудиторские и консультационные услуги</v>
      </c>
      <c r="T32" s="156" t="s">
        <v>662</v>
      </c>
    </row>
    <row r="33" spans="1:14" s="156" customFormat="1" hidden="1" x14ac:dyDescent="0.25">
      <c r="A33" s="268" t="s">
        <v>219</v>
      </c>
      <c r="B33" s="268"/>
      <c r="C33" s="268"/>
      <c r="D33" s="268"/>
      <c r="E33" s="271">
        <v>300420</v>
      </c>
      <c r="F33" s="271"/>
      <c r="G33" s="155"/>
      <c r="H33" s="171">
        <v>901260</v>
      </c>
      <c r="I33" s="172"/>
      <c r="J33" s="154">
        <v>1201680</v>
      </c>
      <c r="K33" s="155"/>
      <c r="L33" s="152"/>
      <c r="M33" s="153"/>
      <c r="N33" s="156" t="str">
        <f>N30</f>
        <v>Мат</v>
      </c>
    </row>
    <row r="34" spans="1:14" hidden="1" x14ac:dyDescent="0.25">
      <c r="A34" s="253" t="s">
        <v>220</v>
      </c>
      <c r="B34" s="253"/>
      <c r="C34" s="253"/>
      <c r="D34" s="253"/>
      <c r="E34" s="61"/>
      <c r="F34" s="62"/>
      <c r="G34" s="63"/>
      <c r="H34" s="169">
        <v>10500</v>
      </c>
      <c r="I34" s="170"/>
      <c r="J34" s="64">
        <v>5400</v>
      </c>
      <c r="K34" s="64">
        <v>5100</v>
      </c>
      <c r="L34" s="61"/>
      <c r="M34" s="62"/>
      <c r="N34" t="str">
        <f>T30</f>
        <v>Программное обеспечение</v>
      </c>
    </row>
    <row r="35" spans="1:14" x14ac:dyDescent="0.25">
      <c r="A35" s="253" t="s">
        <v>221</v>
      </c>
      <c r="B35" s="253"/>
      <c r="C35" s="253"/>
      <c r="D35" s="253"/>
      <c r="E35" s="61"/>
      <c r="F35" s="62"/>
      <c r="G35" s="64">
        <v>10000</v>
      </c>
      <c r="H35" s="169">
        <v>100000</v>
      </c>
      <c r="I35" s="170"/>
      <c r="J35" s="64">
        <v>100000</v>
      </c>
      <c r="K35" s="63"/>
      <c r="L35" s="247">
        <v>10000</v>
      </c>
      <c r="M35" s="247"/>
      <c r="N35" t="str">
        <f>T8</f>
        <v>Расходы на аудиторские и консультационные услуги</v>
      </c>
    </row>
    <row r="36" spans="1:14" hidden="1" x14ac:dyDescent="0.25">
      <c r="A36" s="253" t="s">
        <v>222</v>
      </c>
      <c r="B36" s="253"/>
      <c r="C36" s="253"/>
      <c r="D36" s="253"/>
      <c r="E36" s="247">
        <v>1070.8499999999999</v>
      </c>
      <c r="F36" s="247"/>
      <c r="G36" s="63"/>
      <c r="H36" s="169">
        <v>8675.61</v>
      </c>
      <c r="I36" s="170"/>
      <c r="J36" s="64">
        <v>5693.37</v>
      </c>
      <c r="K36" s="64">
        <v>4053.09</v>
      </c>
      <c r="L36" s="61"/>
      <c r="M36" s="62"/>
      <c r="N36" t="str">
        <f>T31</f>
        <v>Сайт</v>
      </c>
    </row>
    <row r="37" spans="1:14" hidden="1" x14ac:dyDescent="0.25">
      <c r="A37" s="253" t="s">
        <v>223</v>
      </c>
      <c r="B37" s="253"/>
      <c r="C37" s="253"/>
      <c r="D37" s="253"/>
      <c r="E37" s="61"/>
      <c r="F37" s="62"/>
      <c r="G37" s="65">
        <v>612.29</v>
      </c>
      <c r="H37" s="169">
        <v>6460.71</v>
      </c>
      <c r="I37" s="170"/>
      <c r="J37" s="64">
        <v>6423.47</v>
      </c>
      <c r="K37" s="63"/>
      <c r="L37" s="250">
        <v>575.04999999999995</v>
      </c>
      <c r="M37" s="250"/>
      <c r="N37" t="str">
        <f>T6</f>
        <v>Услуги связи</v>
      </c>
    </row>
    <row r="38" spans="1:14" s="156" customFormat="1" hidden="1" x14ac:dyDescent="0.25">
      <c r="A38" s="268" t="s">
        <v>224</v>
      </c>
      <c r="B38" s="268"/>
      <c r="C38" s="268"/>
      <c r="D38" s="268"/>
      <c r="E38" s="271">
        <v>291342.46000000002</v>
      </c>
      <c r="F38" s="271"/>
      <c r="G38" s="155"/>
      <c r="H38" s="171">
        <v>291342.46000000002</v>
      </c>
      <c r="I38" s="172"/>
      <c r="J38" s="154">
        <v>582684.92000000004</v>
      </c>
      <c r="K38" s="155"/>
      <c r="L38" s="152"/>
      <c r="M38" s="153"/>
      <c r="N38" s="156" t="str">
        <f>T13</f>
        <v>Расходы на обеспечение нормальных условий труда и мер по технике безопасности</v>
      </c>
    </row>
    <row r="39" spans="1:14" s="156" customFormat="1" hidden="1" x14ac:dyDescent="0.25">
      <c r="A39" s="268" t="s">
        <v>225</v>
      </c>
      <c r="B39" s="268"/>
      <c r="C39" s="268"/>
      <c r="D39" s="268"/>
      <c r="E39" s="152"/>
      <c r="F39" s="153"/>
      <c r="G39" s="157">
        <v>0.5</v>
      </c>
      <c r="H39" s="152"/>
      <c r="I39" s="153"/>
      <c r="J39" s="155"/>
      <c r="K39" s="155"/>
      <c r="L39" s="273">
        <v>0.5</v>
      </c>
      <c r="M39" s="273"/>
      <c r="N39" s="156" t="str">
        <f>N46</f>
        <v>работы</v>
      </c>
    </row>
    <row r="40" spans="1:14" s="156" customFormat="1" hidden="1" x14ac:dyDescent="0.25">
      <c r="A40" s="268" t="s">
        <v>226</v>
      </c>
      <c r="B40" s="268"/>
      <c r="C40" s="268"/>
      <c r="D40" s="268"/>
      <c r="E40" s="271">
        <v>70010</v>
      </c>
      <c r="F40" s="271"/>
      <c r="G40" s="155"/>
      <c r="H40" s="152"/>
      <c r="I40" s="153"/>
      <c r="J40" s="154">
        <v>13719.49</v>
      </c>
      <c r="K40" s="154">
        <v>56290.51</v>
      </c>
      <c r="L40" s="152"/>
      <c r="M40" s="153"/>
      <c r="N40" s="156" t="str">
        <f>N33</f>
        <v>Мат</v>
      </c>
    </row>
    <row r="41" spans="1:14" s="156" customFormat="1" hidden="1" x14ac:dyDescent="0.25">
      <c r="A41" s="268" t="s">
        <v>227</v>
      </c>
      <c r="B41" s="268"/>
      <c r="C41" s="268"/>
      <c r="D41" s="268"/>
      <c r="E41" s="152"/>
      <c r="F41" s="153"/>
      <c r="G41" s="155"/>
      <c r="H41" s="171">
        <v>54200</v>
      </c>
      <c r="I41" s="172"/>
      <c r="J41" s="154">
        <v>54200</v>
      </c>
      <c r="K41" s="155"/>
      <c r="L41" s="152"/>
      <c r="M41" s="153"/>
      <c r="N41" s="156" t="str">
        <f>N40</f>
        <v>Мат</v>
      </c>
    </row>
    <row r="42" spans="1:14" s="156" customFormat="1" hidden="1" x14ac:dyDescent="0.25">
      <c r="A42" s="268" t="s">
        <v>228</v>
      </c>
      <c r="B42" s="268"/>
      <c r="C42" s="268"/>
      <c r="D42" s="268"/>
      <c r="E42" s="152"/>
      <c r="F42" s="153"/>
      <c r="G42" s="155"/>
      <c r="H42" s="171">
        <v>201230</v>
      </c>
      <c r="I42" s="172"/>
      <c r="J42" s="154">
        <v>201230</v>
      </c>
      <c r="K42" s="155"/>
      <c r="L42" s="152"/>
      <c r="M42" s="153"/>
      <c r="N42" s="156" t="str">
        <f>N41</f>
        <v>Мат</v>
      </c>
    </row>
    <row r="43" spans="1:14" s="156" customFormat="1" hidden="1" x14ac:dyDescent="0.25">
      <c r="A43" s="268" t="s">
        <v>229</v>
      </c>
      <c r="B43" s="268"/>
      <c r="C43" s="268"/>
      <c r="D43" s="268"/>
      <c r="E43" s="273">
        <v>12</v>
      </c>
      <c r="F43" s="273"/>
      <c r="G43" s="155"/>
      <c r="H43" s="171">
        <v>2831</v>
      </c>
      <c r="I43" s="172"/>
      <c r="J43" s="154">
        <v>2831</v>
      </c>
      <c r="K43" s="157">
        <v>12</v>
      </c>
      <c r="L43" s="152"/>
      <c r="M43" s="153"/>
      <c r="N43" s="156" t="str">
        <f>N42</f>
        <v>Мат</v>
      </c>
    </row>
    <row r="44" spans="1:14" s="156" customFormat="1" hidden="1" x14ac:dyDescent="0.25">
      <c r="A44" s="268" t="s">
        <v>230</v>
      </c>
      <c r="B44" s="268"/>
      <c r="C44" s="268"/>
      <c r="D44" s="268"/>
      <c r="E44" s="152"/>
      <c r="F44" s="153"/>
      <c r="G44" s="154">
        <v>100000</v>
      </c>
      <c r="H44" s="171">
        <v>100000</v>
      </c>
      <c r="I44" s="172"/>
      <c r="J44" s="155"/>
      <c r="K44" s="155"/>
      <c r="L44" s="152"/>
      <c r="M44" s="153"/>
      <c r="N44" s="156" t="str">
        <f>N46</f>
        <v>работы</v>
      </c>
    </row>
    <row r="45" spans="1:14" s="156" customFormat="1" hidden="1" x14ac:dyDescent="0.25">
      <c r="A45" s="268" t="s">
        <v>231</v>
      </c>
      <c r="B45" s="268"/>
      <c r="C45" s="268"/>
      <c r="D45" s="268"/>
      <c r="E45" s="271">
        <v>45973.21</v>
      </c>
      <c r="F45" s="271"/>
      <c r="G45" s="155"/>
      <c r="H45" s="152"/>
      <c r="I45" s="153"/>
      <c r="J45" s="155"/>
      <c r="K45" s="154">
        <v>45973.21</v>
      </c>
      <c r="L45" s="152"/>
      <c r="M45" s="153"/>
    </row>
    <row r="46" spans="1:14" s="168" customFormat="1" hidden="1" x14ac:dyDescent="0.25">
      <c r="A46" s="272" t="s">
        <v>232</v>
      </c>
      <c r="B46" s="272"/>
      <c r="C46" s="272"/>
      <c r="D46" s="272"/>
      <c r="E46" s="164"/>
      <c r="F46" s="165"/>
      <c r="G46" s="166"/>
      <c r="H46" s="179">
        <v>554116.80000000005</v>
      </c>
      <c r="I46" s="180"/>
      <c r="J46" s="167">
        <v>554116.80000000005</v>
      </c>
      <c r="K46" s="166"/>
      <c r="L46" s="164"/>
      <c r="M46" s="165"/>
      <c r="N46" s="168" t="s">
        <v>663</v>
      </c>
    </row>
    <row r="47" spans="1:14" s="156" customFormat="1" hidden="1" x14ac:dyDescent="0.25">
      <c r="A47" s="272" t="s">
        <v>233</v>
      </c>
      <c r="B47" s="272"/>
      <c r="C47" s="272"/>
      <c r="D47" s="272"/>
      <c r="E47" s="164"/>
      <c r="F47" s="165"/>
      <c r="G47" s="166"/>
      <c r="H47" s="179">
        <v>19440</v>
      </c>
      <c r="I47" s="180"/>
      <c r="J47" s="167">
        <v>19440</v>
      </c>
      <c r="K47" s="166"/>
      <c r="L47" s="164"/>
      <c r="M47" s="165"/>
      <c r="N47" s="168" t="str">
        <f>N46</f>
        <v>работы</v>
      </c>
    </row>
    <row r="48" spans="1:14" hidden="1" x14ac:dyDescent="0.25">
      <c r="A48" s="253" t="s">
        <v>234</v>
      </c>
      <c r="B48" s="253"/>
      <c r="C48" s="253"/>
      <c r="D48" s="253"/>
      <c r="E48" s="61"/>
      <c r="F48" s="62"/>
      <c r="G48" s="63"/>
      <c r="H48" s="169">
        <v>52500</v>
      </c>
      <c r="I48" s="170"/>
      <c r="J48" s="64">
        <v>52500</v>
      </c>
      <c r="K48" s="63"/>
      <c r="L48" s="61"/>
      <c r="M48" s="62"/>
      <c r="N48" t="str">
        <f>N21</f>
        <v>Мат</v>
      </c>
    </row>
    <row r="49" spans="1:14" s="156" customFormat="1" hidden="1" x14ac:dyDescent="0.25">
      <c r="A49" s="268" t="s">
        <v>235</v>
      </c>
      <c r="B49" s="268"/>
      <c r="C49" s="268"/>
      <c r="D49" s="268"/>
      <c r="E49" s="152"/>
      <c r="F49" s="153"/>
      <c r="G49" s="157">
        <v>0.2</v>
      </c>
      <c r="H49" s="171">
        <v>22371.8</v>
      </c>
      <c r="I49" s="172"/>
      <c r="J49" s="154">
        <v>22371.599999999999</v>
      </c>
      <c r="K49" s="155"/>
      <c r="L49" s="152"/>
      <c r="M49" s="153"/>
      <c r="N49" s="156" t="str">
        <f>N48</f>
        <v>Мат</v>
      </c>
    </row>
    <row r="50" spans="1:14" hidden="1" x14ac:dyDescent="0.25">
      <c r="A50" s="253" t="s">
        <v>236</v>
      </c>
      <c r="B50" s="253"/>
      <c r="C50" s="253"/>
      <c r="D50" s="253"/>
      <c r="E50" s="61"/>
      <c r="F50" s="62"/>
      <c r="G50" s="63"/>
      <c r="H50" s="169">
        <v>10500</v>
      </c>
      <c r="I50" s="170"/>
      <c r="J50" s="64">
        <v>10000</v>
      </c>
      <c r="K50" s="65">
        <v>500</v>
      </c>
      <c r="L50" s="61"/>
      <c r="M50" s="62"/>
      <c r="N50" t="str">
        <f>T6</f>
        <v>Услуги связи</v>
      </c>
    </row>
    <row r="51" spans="1:14" s="156" customFormat="1" hidden="1" x14ac:dyDescent="0.25">
      <c r="A51" s="268" t="s">
        <v>237</v>
      </c>
      <c r="B51" s="268"/>
      <c r="C51" s="268"/>
      <c r="D51" s="268"/>
      <c r="E51" s="152"/>
      <c r="F51" s="153"/>
      <c r="G51" s="155"/>
      <c r="H51" s="171">
        <v>21270</v>
      </c>
      <c r="I51" s="172"/>
      <c r="J51" s="154">
        <v>21270</v>
      </c>
      <c r="K51" s="155"/>
      <c r="L51" s="152"/>
      <c r="M51" s="153"/>
      <c r="N51" s="156" t="str">
        <f>N49</f>
        <v>Мат</v>
      </c>
    </row>
    <row r="52" spans="1:14" s="73" customFormat="1" hidden="1" x14ac:dyDescent="0.25">
      <c r="A52" s="269" t="s">
        <v>238</v>
      </c>
      <c r="B52" s="269"/>
      <c r="C52" s="269"/>
      <c r="D52" s="269"/>
      <c r="E52" s="145"/>
      <c r="F52" s="146"/>
      <c r="G52" s="147">
        <v>3205045.58</v>
      </c>
      <c r="H52" s="177">
        <v>12472978.34</v>
      </c>
      <c r="I52" s="178"/>
      <c r="J52" s="147">
        <v>9779873.2599999998</v>
      </c>
      <c r="K52" s="151"/>
      <c r="L52" s="270">
        <v>511940.5</v>
      </c>
      <c r="M52" s="270"/>
    </row>
    <row r="53" spans="1:14" s="156" customFormat="1" hidden="1" x14ac:dyDescent="0.25">
      <c r="A53" s="268" t="s">
        <v>239</v>
      </c>
      <c r="B53" s="268"/>
      <c r="C53" s="268"/>
      <c r="D53" s="268"/>
      <c r="E53" s="152"/>
      <c r="F53" s="153"/>
      <c r="G53" s="155"/>
      <c r="H53" s="171">
        <v>16000</v>
      </c>
      <c r="I53" s="172"/>
      <c r="J53" s="154">
        <v>16000</v>
      </c>
      <c r="K53" s="155"/>
      <c r="L53" s="152"/>
      <c r="M53" s="153"/>
      <c r="N53" s="156" t="str">
        <f>N38</f>
        <v>Расходы на обеспечение нормальных условий труда и мер по технике безопасности</v>
      </c>
    </row>
    <row r="54" spans="1:14" x14ac:dyDescent="0.25">
      <c r="A54" s="253" t="s">
        <v>240</v>
      </c>
      <c r="B54" s="253"/>
      <c r="C54" s="253"/>
      <c r="D54" s="253"/>
      <c r="E54" s="61"/>
      <c r="F54" s="62"/>
      <c r="G54" s="63"/>
      <c r="H54" s="169">
        <v>272000</v>
      </c>
      <c r="I54" s="170"/>
      <c r="J54" s="64">
        <v>272000</v>
      </c>
      <c r="K54" s="63"/>
      <c r="L54" s="61"/>
      <c r="M54" s="62"/>
      <c r="N54" t="str">
        <f>T8</f>
        <v>Расходы на аудиторские и консультационные услуги</v>
      </c>
    </row>
    <row r="55" spans="1:14" s="156" customFormat="1" hidden="1" x14ac:dyDescent="0.25">
      <c r="A55" s="268" t="s">
        <v>241</v>
      </c>
      <c r="B55" s="268"/>
      <c r="C55" s="268"/>
      <c r="D55" s="268"/>
      <c r="E55" s="152"/>
      <c r="F55" s="153"/>
      <c r="G55" s="155"/>
      <c r="H55" s="171">
        <v>15196</v>
      </c>
      <c r="I55" s="172"/>
      <c r="J55" s="154">
        <v>15196</v>
      </c>
      <c r="K55" s="155"/>
      <c r="L55" s="152"/>
      <c r="M55" s="153"/>
      <c r="N55" s="156" t="str">
        <f>T28</f>
        <v>Затраты на коммунальные услуги</v>
      </c>
    </row>
    <row r="56" spans="1:14" s="156" customFormat="1" hidden="1" x14ac:dyDescent="0.25">
      <c r="A56" s="268" t="s">
        <v>242</v>
      </c>
      <c r="B56" s="268"/>
      <c r="C56" s="268"/>
      <c r="D56" s="268"/>
      <c r="E56" s="152"/>
      <c r="F56" s="153"/>
      <c r="G56" s="155"/>
      <c r="H56" s="171">
        <v>7500</v>
      </c>
      <c r="I56" s="172"/>
      <c r="J56" s="154">
        <v>7500</v>
      </c>
      <c r="K56" s="155"/>
      <c r="L56" s="152"/>
      <c r="M56" s="153"/>
      <c r="N56" s="156" t="str">
        <f>T13</f>
        <v>Расходы на обеспечение нормальных условий труда и мер по технике безопасности</v>
      </c>
    </row>
    <row r="57" spans="1:14" s="156" customFormat="1" x14ac:dyDescent="0.25">
      <c r="A57" s="268" t="s">
        <v>243</v>
      </c>
      <c r="B57" s="268"/>
      <c r="C57" s="268"/>
      <c r="D57" s="268"/>
      <c r="E57" s="152"/>
      <c r="F57" s="153"/>
      <c r="G57" s="155"/>
      <c r="H57" s="171">
        <v>17640</v>
      </c>
      <c r="I57" s="172"/>
      <c r="J57" s="154">
        <v>17640</v>
      </c>
      <c r="K57" s="155"/>
      <c r="L57" s="152"/>
      <c r="M57" s="153"/>
      <c r="N57" s="156" t="str">
        <f>T8</f>
        <v>Расходы на аудиторские и консультационные услуги</v>
      </c>
    </row>
    <row r="58" spans="1:14" hidden="1" x14ac:dyDescent="0.25">
      <c r="A58" s="253" t="s">
        <v>244</v>
      </c>
      <c r="B58" s="253"/>
      <c r="C58" s="253"/>
      <c r="D58" s="253"/>
      <c r="E58" s="61"/>
      <c r="F58" s="62"/>
      <c r="G58" s="64">
        <v>86363.02</v>
      </c>
      <c r="H58" s="169">
        <v>213991.49</v>
      </c>
      <c r="I58" s="170"/>
      <c r="J58" s="64">
        <v>138184.34</v>
      </c>
      <c r="K58" s="63"/>
      <c r="L58" s="247">
        <v>10555.87</v>
      </c>
      <c r="M58" s="247"/>
      <c r="N58" t="s">
        <v>661</v>
      </c>
    </row>
    <row r="59" spans="1:14" hidden="1" x14ac:dyDescent="0.25">
      <c r="A59" s="253" t="s">
        <v>245</v>
      </c>
      <c r="B59" s="253"/>
      <c r="C59" s="253"/>
      <c r="D59" s="253"/>
      <c r="E59" s="61"/>
      <c r="F59" s="62"/>
      <c r="G59" s="63"/>
      <c r="H59" s="169">
        <v>24412.799999999999</v>
      </c>
      <c r="I59" s="170"/>
      <c r="J59" s="64">
        <v>24412.799999999999</v>
      </c>
      <c r="K59" s="63"/>
      <c r="L59" s="61"/>
      <c r="M59" s="62"/>
      <c r="N59" t="str">
        <f>N30</f>
        <v>Мат</v>
      </c>
    </row>
    <row r="60" spans="1:14" hidden="1" x14ac:dyDescent="0.25">
      <c r="A60" s="253" t="s">
        <v>246</v>
      </c>
      <c r="B60" s="253"/>
      <c r="C60" s="253"/>
      <c r="D60" s="253"/>
      <c r="E60" s="61"/>
      <c r="F60" s="62"/>
      <c r="G60" s="63"/>
      <c r="H60" s="169">
        <v>32600</v>
      </c>
      <c r="I60" s="170"/>
      <c r="J60" s="64">
        <v>32600</v>
      </c>
      <c r="K60" s="63"/>
      <c r="L60" s="61"/>
      <c r="M60" s="62"/>
      <c r="N60" t="s">
        <v>662</v>
      </c>
    </row>
    <row r="61" spans="1:14" hidden="1" x14ac:dyDescent="0.25">
      <c r="A61" s="248" t="s">
        <v>185</v>
      </c>
      <c r="B61" s="248"/>
      <c r="C61" s="248"/>
      <c r="D61" s="248"/>
      <c r="E61" s="66"/>
      <c r="F61" s="67"/>
      <c r="G61" s="69">
        <v>4896744.75</v>
      </c>
      <c r="H61" s="181">
        <v>24634008.690000001</v>
      </c>
      <c r="I61" s="182"/>
      <c r="J61" s="69">
        <v>18464721.420000002</v>
      </c>
      <c r="K61" s="69">
        <v>1272542.52</v>
      </c>
      <c r="L61" s="66"/>
      <c r="M61" s="67"/>
    </row>
    <row r="62" spans="1:14" x14ac:dyDescent="0.25">
      <c r="I62" s="74"/>
    </row>
    <row r="63" spans="1:14" x14ac:dyDescent="0.25">
      <c r="I63" s="74">
        <f>H52+H47+H46+H28</f>
        <v>21643325.240000002</v>
      </c>
    </row>
    <row r="64" spans="1:14" x14ac:dyDescent="0.25">
      <c r="I64" s="74">
        <f>H61-I63</f>
        <v>2990683.4499999993</v>
      </c>
    </row>
    <row r="65" spans="9:9" x14ac:dyDescent="0.25">
      <c r="I65" s="74"/>
    </row>
  </sheetData>
  <autoFilter ref="A13:U61">
    <filterColumn colId="0" showButton="0"/>
    <filterColumn colId="1" showButton="0"/>
    <filterColumn colId="2" showButton="0"/>
    <filterColumn colId="7" showButton="0"/>
    <filterColumn colId="13">
      <filters>
        <filter val="Расходы на аудиторские и консультационные услуги"/>
      </filters>
    </filterColumn>
  </autoFilter>
  <mergeCells count="87">
    <mergeCell ref="A1:L1"/>
    <mergeCell ref="A2:L2"/>
    <mergeCell ref="A4:C4"/>
    <mergeCell ref="D4:L4"/>
    <mergeCell ref="A9:D9"/>
    <mergeCell ref="E9:G9"/>
    <mergeCell ref="H9:J9"/>
    <mergeCell ref="K9:M9"/>
    <mergeCell ref="A14:D14"/>
    <mergeCell ref="A15:D15"/>
    <mergeCell ref="A16:D16"/>
    <mergeCell ref="L10:M11"/>
    <mergeCell ref="A11:D11"/>
    <mergeCell ref="A12:D12"/>
    <mergeCell ref="H12:I12"/>
    <mergeCell ref="A13:D13"/>
    <mergeCell ref="H13:I13"/>
    <mergeCell ref="A10:D10"/>
    <mergeCell ref="E10:F11"/>
    <mergeCell ref="G10:G11"/>
    <mergeCell ref="H10:I11"/>
    <mergeCell ref="J10:J11"/>
    <mergeCell ref="K10:K11"/>
    <mergeCell ref="A17:D17"/>
    <mergeCell ref="L17:M17"/>
    <mergeCell ref="A18:D18"/>
    <mergeCell ref="L18:M18"/>
    <mergeCell ref="A19:D19"/>
    <mergeCell ref="L19:M19"/>
    <mergeCell ref="L22:M22"/>
    <mergeCell ref="A23:D23"/>
    <mergeCell ref="L23:M23"/>
    <mergeCell ref="A24:D24"/>
    <mergeCell ref="A20:D20"/>
    <mergeCell ref="E20:F20"/>
    <mergeCell ref="A21:D21"/>
    <mergeCell ref="A22:D22"/>
    <mergeCell ref="A25:D25"/>
    <mergeCell ref="L25:M25"/>
    <mergeCell ref="A26:D26"/>
    <mergeCell ref="A27:D27"/>
    <mergeCell ref="E27:F27"/>
    <mergeCell ref="A31:D31"/>
    <mergeCell ref="A32:D32"/>
    <mergeCell ref="A33:D33"/>
    <mergeCell ref="E33:F33"/>
    <mergeCell ref="A28:D28"/>
    <mergeCell ref="A29:D29"/>
    <mergeCell ref="A30:D30"/>
    <mergeCell ref="A37:D37"/>
    <mergeCell ref="L37:M37"/>
    <mergeCell ref="A38:D38"/>
    <mergeCell ref="E38:F38"/>
    <mergeCell ref="A34:D34"/>
    <mergeCell ref="A35:D35"/>
    <mergeCell ref="L35:M35"/>
    <mergeCell ref="A36:D36"/>
    <mergeCell ref="E36:F36"/>
    <mergeCell ref="A39:D39"/>
    <mergeCell ref="L39:M39"/>
    <mergeCell ref="A40:D40"/>
    <mergeCell ref="E40:F40"/>
    <mergeCell ref="A41:D41"/>
    <mergeCell ref="A45:D45"/>
    <mergeCell ref="E45:F45"/>
    <mergeCell ref="A46:D46"/>
    <mergeCell ref="A47:D47"/>
    <mergeCell ref="A42:D42"/>
    <mergeCell ref="A43:D43"/>
    <mergeCell ref="E43:F43"/>
    <mergeCell ref="A44:D44"/>
    <mergeCell ref="L52:M52"/>
    <mergeCell ref="A53:D53"/>
    <mergeCell ref="A48:D48"/>
    <mergeCell ref="A49:D49"/>
    <mergeCell ref="A50:D50"/>
    <mergeCell ref="A54:D54"/>
    <mergeCell ref="A55:D55"/>
    <mergeCell ref="A56:D56"/>
    <mergeCell ref="A51:D51"/>
    <mergeCell ref="A52:D52"/>
    <mergeCell ref="A60:D60"/>
    <mergeCell ref="A61:D61"/>
    <mergeCell ref="A57:D57"/>
    <mergeCell ref="A58:D58"/>
    <mergeCell ref="L58:M58"/>
    <mergeCell ref="A59:D5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Отчет за 4  2020 года</vt:lpstr>
      <vt:lpstr>Затраты Р-9</vt:lpstr>
      <vt:lpstr>Лист2</vt:lpstr>
      <vt:lpstr>Отчет за 3  2020 года </vt:lpstr>
      <vt:lpstr>Отчет за 3  2020 года</vt:lpstr>
      <vt:lpstr>П-4</vt:lpstr>
      <vt:lpstr>20</vt:lpstr>
      <vt:lpstr>26</vt:lpstr>
      <vt:lpstr>60</vt:lpstr>
      <vt:lpstr>91</vt:lpstr>
      <vt:lpstr>10</vt:lpstr>
      <vt:lpstr>ТНС</vt:lpstr>
      <vt:lpstr>Лист8</vt:lpstr>
      <vt:lpstr>Лист9</vt:lpstr>
      <vt:lpstr>Лист11</vt:lpstr>
      <vt:lpstr>'Отчет за 3  2020 года'!Область_печати</vt:lpstr>
      <vt:lpstr>'Отчет за 3  2020 года '!Область_печати</vt:lpstr>
      <vt:lpstr>'Отчет за 4  2020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2022-04-29T07:48:54Z</dcterms:modified>
</cp:coreProperties>
</file>